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\\Wb-nas\共用資料2\營企部\簡體字書單\"/>
    </mc:Choice>
  </mc:AlternateContent>
  <xr:revisionPtr revIDLastSave="0" documentId="13_ncr:1_{84887155-65C2-41B4-B248-921335D789F4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世界書局簡體字書單" sheetId="7" r:id="rId1"/>
  </sheets>
  <definedNames>
    <definedName name="_xlnm.Print_Titles" localSheetId="0">世界書局簡體字書單!$1:$1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522" i="7" l="1"/>
  <c r="G1522" i="7"/>
  <c r="E1522" i="7"/>
  <c r="H1521" i="7"/>
  <c r="G1521" i="7"/>
  <c r="E1521" i="7"/>
  <c r="H1520" i="7"/>
  <c r="G1520" i="7"/>
  <c r="E1520" i="7"/>
  <c r="H1519" i="7"/>
  <c r="G1519" i="7"/>
  <c r="E1519" i="7"/>
  <c r="H1518" i="7"/>
  <c r="G1518" i="7"/>
  <c r="E1518" i="7"/>
  <c r="H1517" i="7"/>
  <c r="G1517" i="7"/>
  <c r="E1517" i="7"/>
  <c r="H1516" i="7"/>
  <c r="G1516" i="7"/>
  <c r="E1516" i="7"/>
  <c r="H1515" i="7"/>
  <c r="G1515" i="7"/>
  <c r="E1515" i="7"/>
  <c r="H1514" i="7"/>
  <c r="G1514" i="7"/>
  <c r="E1514" i="7"/>
  <c r="H1513" i="7"/>
  <c r="G1513" i="7"/>
  <c r="E1513" i="7"/>
  <c r="H1512" i="7"/>
  <c r="G1512" i="7"/>
  <c r="E1512" i="7"/>
  <c r="H1511" i="7"/>
  <c r="G1511" i="7"/>
  <c r="E1511" i="7"/>
  <c r="H1510" i="7"/>
  <c r="G1510" i="7"/>
  <c r="E1510" i="7"/>
  <c r="H1509" i="7"/>
  <c r="G1509" i="7"/>
  <c r="E1509" i="7"/>
  <c r="H1508" i="7"/>
  <c r="G1508" i="7"/>
  <c r="E1508" i="7"/>
  <c r="H1507" i="7"/>
  <c r="G1507" i="7"/>
  <c r="E1507" i="7"/>
  <c r="H1506" i="7"/>
  <c r="G1506" i="7"/>
  <c r="E1506" i="7"/>
  <c r="H1505" i="7"/>
  <c r="G1505" i="7"/>
  <c r="E1505" i="7"/>
  <c r="H1504" i="7"/>
  <c r="G1504" i="7"/>
  <c r="E1504" i="7"/>
  <c r="H1503" i="7"/>
  <c r="G1503" i="7"/>
  <c r="E1503" i="7"/>
  <c r="H1502" i="7"/>
  <c r="G1502" i="7"/>
  <c r="E1502" i="7"/>
  <c r="H1501" i="7"/>
  <c r="G1501" i="7"/>
  <c r="E1501" i="7"/>
  <c r="H1500" i="7"/>
  <c r="G1500" i="7"/>
  <c r="E1500" i="7"/>
  <c r="H1499" i="7"/>
  <c r="G1499" i="7"/>
  <c r="E1499" i="7"/>
  <c r="H1498" i="7"/>
  <c r="G1498" i="7"/>
  <c r="E1498" i="7"/>
  <c r="H1497" i="7"/>
  <c r="G1497" i="7"/>
  <c r="E1497" i="7"/>
  <c r="H1496" i="7"/>
  <c r="G1496" i="7"/>
  <c r="E1496" i="7"/>
  <c r="H1495" i="7"/>
  <c r="G1495" i="7"/>
  <c r="E1495" i="7"/>
  <c r="H1494" i="7"/>
  <c r="G1494" i="7"/>
  <c r="E1494" i="7"/>
  <c r="H1493" i="7"/>
  <c r="G1493" i="7"/>
  <c r="E1493" i="7"/>
  <c r="H1492" i="7"/>
  <c r="G1492" i="7"/>
  <c r="E1492" i="7"/>
  <c r="H1491" i="7"/>
  <c r="G1491" i="7"/>
  <c r="E1491" i="7"/>
  <c r="H1490" i="7"/>
  <c r="G1490" i="7"/>
  <c r="E1490" i="7"/>
  <c r="H1489" i="7"/>
  <c r="G1489" i="7"/>
  <c r="E1489" i="7"/>
  <c r="H1488" i="7"/>
  <c r="G1488" i="7"/>
  <c r="E1488" i="7"/>
  <c r="H1487" i="7"/>
  <c r="G1487" i="7"/>
  <c r="E1487" i="7"/>
  <c r="H1486" i="7"/>
  <c r="G1486" i="7"/>
  <c r="E1486" i="7"/>
  <c r="H1485" i="7"/>
  <c r="G1485" i="7"/>
  <c r="E1485" i="7"/>
  <c r="H1484" i="7"/>
  <c r="G1484" i="7"/>
  <c r="E1484" i="7"/>
  <c r="H1483" i="7"/>
  <c r="G1483" i="7"/>
  <c r="E1483" i="7"/>
  <c r="H1482" i="7"/>
  <c r="G1482" i="7"/>
  <c r="E1482" i="7"/>
  <c r="H1481" i="7"/>
  <c r="G1481" i="7"/>
  <c r="E1481" i="7"/>
  <c r="H1480" i="7"/>
  <c r="G1480" i="7"/>
  <c r="E1480" i="7"/>
  <c r="H1479" i="7"/>
  <c r="G1479" i="7"/>
  <c r="E1479" i="7"/>
  <c r="H1478" i="7"/>
  <c r="G1478" i="7"/>
  <c r="E1478" i="7"/>
  <c r="H1477" i="7"/>
  <c r="G1477" i="7"/>
  <c r="E1477" i="7"/>
  <c r="H1476" i="7"/>
  <c r="G1476" i="7"/>
  <c r="E1476" i="7"/>
  <c r="H1475" i="7"/>
  <c r="G1475" i="7"/>
  <c r="E1475" i="7"/>
  <c r="H1474" i="7"/>
  <c r="G1474" i="7"/>
  <c r="E1474" i="7"/>
  <c r="H1473" i="7"/>
  <c r="G1473" i="7"/>
  <c r="E1473" i="7"/>
  <c r="H1472" i="7"/>
  <c r="G1472" i="7"/>
  <c r="E1472" i="7"/>
  <c r="H1471" i="7"/>
  <c r="G1471" i="7"/>
  <c r="E1471" i="7"/>
  <c r="H1470" i="7"/>
  <c r="G1470" i="7"/>
  <c r="E1470" i="7"/>
  <c r="H1469" i="7"/>
  <c r="G1469" i="7"/>
  <c r="E1469" i="7"/>
  <c r="H1468" i="7"/>
  <c r="G1468" i="7"/>
  <c r="E1468" i="7"/>
  <c r="H1467" i="7"/>
  <c r="G1467" i="7"/>
  <c r="E1467" i="7"/>
  <c r="H1466" i="7"/>
  <c r="G1466" i="7"/>
  <c r="E1466" i="7"/>
  <c r="H1465" i="7"/>
  <c r="G1465" i="7"/>
  <c r="E1465" i="7"/>
  <c r="H1464" i="7"/>
  <c r="G1464" i="7"/>
  <c r="E1464" i="7"/>
  <c r="H1463" i="7"/>
  <c r="G1463" i="7"/>
  <c r="E1463" i="7"/>
  <c r="H1462" i="7"/>
  <c r="G1462" i="7"/>
  <c r="E1462" i="7"/>
  <c r="H1461" i="7"/>
  <c r="G1461" i="7"/>
  <c r="E1461" i="7"/>
  <c r="H1460" i="7"/>
  <c r="G1460" i="7"/>
  <c r="E1460" i="7"/>
  <c r="H1459" i="7"/>
  <c r="G1459" i="7"/>
  <c r="E1459" i="7"/>
  <c r="H1458" i="7"/>
  <c r="G1458" i="7"/>
  <c r="E1458" i="7"/>
  <c r="H1457" i="7"/>
  <c r="G1457" i="7"/>
  <c r="E1457" i="7"/>
  <c r="H1456" i="7"/>
  <c r="G1456" i="7"/>
  <c r="E1456" i="7"/>
  <c r="H1455" i="7"/>
  <c r="G1455" i="7"/>
  <c r="E1455" i="7"/>
  <c r="H1454" i="7"/>
  <c r="G1454" i="7"/>
  <c r="E1454" i="7"/>
  <c r="H1453" i="7"/>
  <c r="G1453" i="7"/>
  <c r="E1453" i="7"/>
  <c r="H1452" i="7"/>
  <c r="G1452" i="7"/>
  <c r="E1452" i="7"/>
  <c r="H1451" i="7"/>
  <c r="G1451" i="7"/>
  <c r="E1451" i="7"/>
  <c r="H1450" i="7"/>
  <c r="G1450" i="7"/>
  <c r="E1450" i="7"/>
  <c r="H1449" i="7"/>
  <c r="G1449" i="7"/>
  <c r="E1449" i="7"/>
  <c r="H1448" i="7"/>
  <c r="G1448" i="7"/>
  <c r="E1448" i="7"/>
  <c r="H1447" i="7"/>
  <c r="G1447" i="7"/>
  <c r="E1447" i="7"/>
  <c r="H1446" i="7"/>
  <c r="G1446" i="7"/>
  <c r="E1446" i="7"/>
  <c r="H1445" i="7"/>
  <c r="G1445" i="7"/>
  <c r="E1445" i="7"/>
  <c r="H1444" i="7"/>
  <c r="G1444" i="7"/>
  <c r="E1444" i="7"/>
  <c r="H1443" i="7"/>
  <c r="G1443" i="7"/>
  <c r="E1443" i="7"/>
  <c r="H1442" i="7"/>
  <c r="G1442" i="7"/>
  <c r="E1442" i="7"/>
  <c r="H1441" i="7"/>
  <c r="G1441" i="7"/>
  <c r="E1441" i="7"/>
  <c r="H1440" i="7"/>
  <c r="G1440" i="7"/>
  <c r="E1440" i="7"/>
  <c r="H1439" i="7"/>
  <c r="G1439" i="7"/>
  <c r="E1439" i="7"/>
  <c r="H1438" i="7"/>
  <c r="G1438" i="7"/>
  <c r="E1438" i="7"/>
  <c r="H1437" i="7"/>
  <c r="G1437" i="7"/>
  <c r="E1437" i="7"/>
  <c r="H1436" i="7"/>
  <c r="G1436" i="7"/>
  <c r="H1435" i="7"/>
  <c r="G1435" i="7"/>
  <c r="H1434" i="7"/>
  <c r="G1434" i="7"/>
  <c r="H1433" i="7"/>
  <c r="G1433" i="7"/>
  <c r="H1432" i="7"/>
  <c r="G1432" i="7"/>
  <c r="E1432" i="7"/>
  <c r="H1431" i="7"/>
  <c r="G1431" i="7"/>
  <c r="E1431" i="7"/>
  <c r="H1430" i="7"/>
  <c r="G1430" i="7"/>
  <c r="E1430" i="7"/>
  <c r="H1429" i="7"/>
  <c r="G1429" i="7"/>
  <c r="E1429" i="7"/>
  <c r="H1428" i="7"/>
  <c r="G1428" i="7"/>
  <c r="E1428" i="7"/>
  <c r="H1427" i="7"/>
  <c r="G1427" i="7"/>
  <c r="E1427" i="7"/>
  <c r="H1426" i="7"/>
  <c r="G1426" i="7"/>
  <c r="E1426" i="7"/>
  <c r="H1425" i="7"/>
  <c r="G1425" i="7"/>
  <c r="E1425" i="7"/>
  <c r="H1424" i="7"/>
  <c r="G1424" i="7"/>
  <c r="E1424" i="7"/>
  <c r="H1423" i="7"/>
  <c r="G1423" i="7"/>
  <c r="E1423" i="7"/>
  <c r="H1422" i="7"/>
  <c r="G1422" i="7"/>
  <c r="E1422" i="7"/>
  <c r="H1421" i="7"/>
  <c r="G1421" i="7"/>
  <c r="E1421" i="7"/>
  <c r="H1420" i="7"/>
  <c r="G1420" i="7"/>
  <c r="E1420" i="7"/>
  <c r="H1419" i="7"/>
  <c r="G1419" i="7"/>
  <c r="E1419" i="7"/>
  <c r="H1418" i="7"/>
  <c r="G1418" i="7"/>
  <c r="E1418" i="7"/>
  <c r="H1417" i="7"/>
  <c r="G1417" i="7"/>
  <c r="E1417" i="7"/>
  <c r="H1416" i="7"/>
  <c r="G1416" i="7"/>
  <c r="E1416" i="7"/>
  <c r="H1415" i="7"/>
  <c r="G1415" i="7"/>
  <c r="E1415" i="7"/>
  <c r="H1414" i="7"/>
  <c r="G1414" i="7"/>
  <c r="E1414" i="7"/>
  <c r="H1413" i="7"/>
  <c r="G1413" i="7"/>
  <c r="E1413" i="7"/>
  <c r="H1412" i="7"/>
  <c r="G1412" i="7"/>
  <c r="E1412" i="7"/>
  <c r="H1411" i="7"/>
  <c r="G1411" i="7"/>
  <c r="E1411" i="7"/>
  <c r="H1410" i="7"/>
  <c r="G1410" i="7"/>
  <c r="E1410" i="7"/>
  <c r="H1409" i="7"/>
  <c r="G1409" i="7"/>
  <c r="E1409" i="7"/>
  <c r="H1408" i="7"/>
  <c r="G1408" i="7"/>
  <c r="E1408" i="7"/>
  <c r="H1407" i="7"/>
  <c r="G1407" i="7"/>
  <c r="E1407" i="7"/>
  <c r="H1406" i="7"/>
  <c r="G1406" i="7"/>
  <c r="E1406" i="7"/>
  <c r="H1405" i="7"/>
  <c r="G1405" i="7"/>
  <c r="E1405" i="7"/>
  <c r="H1404" i="7"/>
  <c r="G1404" i="7"/>
  <c r="E1404" i="7"/>
  <c r="H1403" i="7"/>
  <c r="G1403" i="7"/>
  <c r="E1403" i="7"/>
  <c r="H1402" i="7"/>
  <c r="G1402" i="7"/>
  <c r="E1402" i="7"/>
  <c r="H1401" i="7"/>
  <c r="G1401" i="7"/>
  <c r="E1401" i="7"/>
  <c r="H1400" i="7"/>
  <c r="G1400" i="7"/>
  <c r="E1400" i="7"/>
  <c r="H1399" i="7"/>
  <c r="G1399" i="7"/>
  <c r="E1399" i="7"/>
  <c r="H1398" i="7"/>
  <c r="G1398" i="7"/>
  <c r="E1398" i="7"/>
  <c r="H1397" i="7"/>
  <c r="G1397" i="7"/>
  <c r="E1397" i="7"/>
  <c r="H1396" i="7"/>
  <c r="G1396" i="7"/>
  <c r="E1396" i="7"/>
  <c r="H1395" i="7"/>
  <c r="G1395" i="7"/>
  <c r="E1395" i="7"/>
  <c r="H1394" i="7"/>
  <c r="G1394" i="7"/>
  <c r="E1394" i="7"/>
  <c r="H1393" i="7"/>
  <c r="G1393" i="7"/>
  <c r="E1393" i="7"/>
  <c r="H1392" i="7"/>
  <c r="G1392" i="7"/>
  <c r="E1392" i="7"/>
  <c r="H1391" i="7"/>
  <c r="G1391" i="7"/>
  <c r="E1391" i="7"/>
  <c r="H1390" i="7"/>
  <c r="G1390" i="7"/>
  <c r="E1390" i="7"/>
  <c r="H1389" i="7"/>
  <c r="G1389" i="7"/>
  <c r="E1389" i="7"/>
  <c r="H1388" i="7"/>
  <c r="G1388" i="7"/>
  <c r="E1388" i="7"/>
  <c r="H1387" i="7"/>
  <c r="G1387" i="7"/>
  <c r="E1387" i="7"/>
  <c r="H1386" i="7"/>
  <c r="G1386" i="7"/>
  <c r="E1386" i="7"/>
  <c r="H1385" i="7"/>
  <c r="G1385" i="7"/>
  <c r="E1385" i="7"/>
  <c r="H1384" i="7"/>
  <c r="G1384" i="7"/>
  <c r="E1384" i="7"/>
  <c r="H1383" i="7"/>
  <c r="G1383" i="7"/>
  <c r="E1383" i="7"/>
  <c r="H1382" i="7"/>
  <c r="G1382" i="7"/>
  <c r="E1382" i="7"/>
  <c r="H1381" i="7"/>
  <c r="G1381" i="7"/>
  <c r="E1381" i="7"/>
  <c r="H1380" i="7"/>
  <c r="G1380" i="7"/>
  <c r="E1380" i="7"/>
  <c r="H1379" i="7"/>
  <c r="G1379" i="7"/>
  <c r="E1379" i="7"/>
  <c r="H1378" i="7"/>
  <c r="G1378" i="7"/>
  <c r="E1378" i="7"/>
  <c r="H1377" i="7"/>
  <c r="G1377" i="7"/>
  <c r="E1377" i="7"/>
  <c r="H1376" i="7"/>
  <c r="G1376" i="7"/>
  <c r="E1376" i="7"/>
  <c r="H1375" i="7"/>
  <c r="G1375" i="7"/>
  <c r="E1375" i="7"/>
  <c r="H1374" i="7"/>
  <c r="G1374" i="7"/>
  <c r="E1374" i="7"/>
  <c r="H1373" i="7"/>
  <c r="G1373" i="7"/>
  <c r="E1373" i="7"/>
  <c r="H1372" i="7"/>
  <c r="G1372" i="7"/>
  <c r="E1372" i="7"/>
  <c r="H1371" i="7"/>
  <c r="G1371" i="7"/>
  <c r="E1371" i="7"/>
  <c r="H1370" i="7"/>
  <c r="G1370" i="7"/>
  <c r="E1370" i="7"/>
  <c r="H1369" i="7"/>
  <c r="G1369" i="7"/>
  <c r="E1369" i="7"/>
  <c r="H1368" i="7"/>
  <c r="G1368" i="7"/>
  <c r="E1368" i="7"/>
  <c r="H1367" i="7"/>
  <c r="G1367" i="7"/>
  <c r="E1367" i="7"/>
  <c r="H1366" i="7"/>
  <c r="G1366" i="7"/>
  <c r="E1366" i="7"/>
  <c r="H1365" i="7"/>
  <c r="G1365" i="7"/>
  <c r="E1365" i="7"/>
  <c r="H1364" i="7"/>
  <c r="G1364" i="7"/>
  <c r="E1364" i="7"/>
  <c r="H1363" i="7"/>
  <c r="G1363" i="7"/>
  <c r="E1363" i="7"/>
  <c r="H1362" i="7"/>
  <c r="G1362" i="7"/>
  <c r="E1362" i="7"/>
  <c r="H1361" i="7"/>
  <c r="G1361" i="7"/>
  <c r="E1361" i="7"/>
  <c r="H1360" i="7"/>
  <c r="G1360" i="7"/>
  <c r="E1360" i="7"/>
  <c r="H1359" i="7"/>
  <c r="G1359" i="7"/>
  <c r="E1359" i="7"/>
  <c r="H1358" i="7"/>
  <c r="G1358" i="7"/>
  <c r="E1358" i="7"/>
  <c r="H1357" i="7"/>
  <c r="G1357" i="7"/>
  <c r="E1357" i="7"/>
  <c r="H1356" i="7"/>
  <c r="G1356" i="7"/>
  <c r="E1356" i="7"/>
  <c r="H1355" i="7"/>
  <c r="G1355" i="7"/>
  <c r="E1355" i="7"/>
  <c r="H1354" i="7"/>
  <c r="G1354" i="7"/>
  <c r="E1354" i="7"/>
  <c r="H1353" i="7"/>
  <c r="G1353" i="7"/>
  <c r="E1353" i="7"/>
  <c r="H1352" i="7"/>
  <c r="G1352" i="7"/>
  <c r="E1352" i="7"/>
  <c r="H1351" i="7"/>
  <c r="G1351" i="7"/>
  <c r="E1351" i="7"/>
  <c r="H1350" i="7"/>
  <c r="G1350" i="7"/>
  <c r="E1350" i="7"/>
  <c r="H1349" i="7"/>
  <c r="G1349" i="7"/>
  <c r="E1349" i="7"/>
  <c r="H1348" i="7"/>
  <c r="G1348" i="7"/>
  <c r="E1348" i="7"/>
  <c r="H1347" i="7"/>
  <c r="G1347" i="7"/>
  <c r="E1347" i="7"/>
  <c r="H1346" i="7"/>
  <c r="G1346" i="7"/>
  <c r="E1346" i="7"/>
  <c r="H1345" i="7"/>
  <c r="G1345" i="7"/>
  <c r="E1345" i="7"/>
  <c r="H1344" i="7"/>
  <c r="G1344" i="7"/>
  <c r="E1344" i="7"/>
  <c r="H1343" i="7"/>
  <c r="G1343" i="7"/>
  <c r="E1343" i="7"/>
  <c r="H1342" i="7"/>
  <c r="G1342" i="7"/>
  <c r="E1342" i="7"/>
  <c r="H1341" i="7"/>
  <c r="G1341" i="7"/>
  <c r="E1341" i="7"/>
  <c r="H1340" i="7"/>
  <c r="G1340" i="7"/>
  <c r="E1340" i="7"/>
  <c r="H1339" i="7"/>
  <c r="G1339" i="7"/>
  <c r="E1339" i="7"/>
  <c r="H1338" i="7"/>
  <c r="G1338" i="7"/>
  <c r="E1338" i="7"/>
  <c r="H1337" i="7"/>
  <c r="G1337" i="7"/>
  <c r="E1337" i="7"/>
  <c r="H1336" i="7"/>
  <c r="G1336" i="7"/>
  <c r="E1336" i="7"/>
  <c r="H1335" i="7"/>
  <c r="G1335" i="7"/>
  <c r="E1335" i="7"/>
  <c r="H1334" i="7"/>
  <c r="G1334" i="7"/>
  <c r="E1334" i="7"/>
  <c r="H1333" i="7"/>
  <c r="G1333" i="7"/>
  <c r="E1333" i="7"/>
  <c r="H1332" i="7"/>
  <c r="G1332" i="7"/>
  <c r="E1332" i="7"/>
  <c r="H1331" i="7"/>
  <c r="G1331" i="7"/>
  <c r="E1331" i="7"/>
  <c r="H1330" i="7"/>
  <c r="G1330" i="7"/>
  <c r="E1330" i="7"/>
  <c r="H1329" i="7"/>
  <c r="G1329" i="7"/>
  <c r="E1329" i="7"/>
  <c r="H1328" i="7"/>
  <c r="G1328" i="7"/>
  <c r="E1328" i="7"/>
  <c r="H1327" i="7"/>
  <c r="G1327" i="7"/>
  <c r="E1327" i="7"/>
  <c r="H1326" i="7"/>
  <c r="G1326" i="7"/>
  <c r="E1326" i="7"/>
  <c r="H1325" i="7"/>
  <c r="G1325" i="7"/>
  <c r="E1325" i="7"/>
  <c r="H1324" i="7"/>
  <c r="G1324" i="7"/>
  <c r="E1324" i="7"/>
  <c r="H1323" i="7"/>
  <c r="G1323" i="7"/>
  <c r="E1323" i="7"/>
  <c r="H1322" i="7"/>
  <c r="G1322" i="7"/>
  <c r="E1322" i="7"/>
  <c r="H1321" i="7"/>
  <c r="G1321" i="7"/>
  <c r="E1321" i="7"/>
  <c r="H1320" i="7"/>
  <c r="G1320" i="7"/>
  <c r="E1320" i="7"/>
  <c r="H1319" i="7"/>
  <c r="G1319" i="7"/>
  <c r="E1319" i="7"/>
  <c r="H1318" i="7"/>
  <c r="G1318" i="7"/>
  <c r="E1318" i="7"/>
  <c r="H1317" i="7"/>
  <c r="G1317" i="7"/>
  <c r="E1317" i="7"/>
  <c r="H1316" i="7"/>
  <c r="G1316" i="7"/>
  <c r="E1316" i="7"/>
  <c r="H1315" i="7"/>
  <c r="G1315" i="7"/>
  <c r="E1315" i="7"/>
  <c r="H1314" i="7"/>
  <c r="G1314" i="7"/>
  <c r="E1314" i="7"/>
  <c r="H1313" i="7"/>
  <c r="G1313" i="7"/>
  <c r="E1313" i="7"/>
  <c r="H1312" i="7"/>
  <c r="G1312" i="7"/>
  <c r="E1312" i="7"/>
  <c r="H1311" i="7"/>
  <c r="G1311" i="7"/>
  <c r="E1311" i="7"/>
  <c r="H1310" i="7"/>
  <c r="G1310" i="7"/>
  <c r="E1310" i="7"/>
  <c r="H1309" i="7"/>
  <c r="G1309" i="7"/>
  <c r="E1309" i="7"/>
  <c r="H1307" i="7"/>
  <c r="G1307" i="7"/>
  <c r="E1307" i="7"/>
  <c r="H1306" i="7"/>
  <c r="G1306" i="7"/>
  <c r="E1306" i="7"/>
  <c r="H1305" i="7"/>
  <c r="G1305" i="7"/>
  <c r="E1305" i="7"/>
  <c r="H1304" i="7"/>
  <c r="G1304" i="7"/>
  <c r="E1304" i="7"/>
  <c r="H1303" i="7"/>
  <c r="G1303" i="7"/>
  <c r="E1303" i="7"/>
  <c r="H1302" i="7"/>
  <c r="G1302" i="7"/>
  <c r="E1302" i="7"/>
  <c r="H1301" i="7"/>
  <c r="G1301" i="7"/>
  <c r="E1301" i="7"/>
  <c r="H1300" i="7"/>
  <c r="G1300" i="7"/>
  <c r="E1300" i="7"/>
  <c r="H1299" i="7"/>
  <c r="G1299" i="7"/>
  <c r="E1299" i="7"/>
  <c r="H1298" i="7"/>
  <c r="G1298" i="7"/>
  <c r="E1298" i="7"/>
  <c r="H1297" i="7"/>
  <c r="G1297" i="7"/>
  <c r="E1297" i="7"/>
  <c r="H1296" i="7"/>
  <c r="G1296" i="7"/>
  <c r="E1296" i="7"/>
  <c r="H1295" i="7"/>
  <c r="G1295" i="7"/>
  <c r="E1295" i="7"/>
  <c r="H1294" i="7"/>
  <c r="G1294" i="7"/>
  <c r="E1294" i="7"/>
  <c r="H1293" i="7"/>
  <c r="G1293" i="7"/>
  <c r="E1293" i="7"/>
  <c r="H1292" i="7"/>
  <c r="G1292" i="7"/>
  <c r="E1292" i="7"/>
  <c r="H1291" i="7"/>
  <c r="G1291" i="7"/>
  <c r="E1291" i="7"/>
  <c r="H1290" i="7"/>
  <c r="G1290" i="7"/>
  <c r="E1290" i="7"/>
  <c r="H1289" i="7"/>
  <c r="G1289" i="7"/>
  <c r="E1289" i="7"/>
  <c r="H1288" i="7"/>
  <c r="G1288" i="7"/>
  <c r="E1288" i="7"/>
  <c r="H1287" i="7"/>
  <c r="G1287" i="7"/>
  <c r="E1287" i="7"/>
  <c r="H1286" i="7"/>
  <c r="G1286" i="7"/>
  <c r="E1286" i="7"/>
  <c r="H1285" i="7"/>
  <c r="G1285" i="7"/>
  <c r="E1285" i="7"/>
  <c r="H1284" i="7"/>
  <c r="G1284" i="7"/>
  <c r="E1284" i="7"/>
  <c r="H1283" i="7"/>
  <c r="G1283" i="7"/>
  <c r="E1283" i="7"/>
  <c r="H1282" i="7"/>
  <c r="G1282" i="7"/>
  <c r="E1282" i="7"/>
  <c r="H1281" i="7"/>
  <c r="G1281" i="7"/>
  <c r="E1281" i="7"/>
  <c r="H1280" i="7"/>
  <c r="G1280" i="7"/>
  <c r="E1280" i="7"/>
  <c r="H1279" i="7"/>
  <c r="G1279" i="7"/>
  <c r="E1279" i="7"/>
  <c r="H1278" i="7"/>
  <c r="G1278" i="7"/>
  <c r="E1278" i="7"/>
  <c r="H1277" i="7"/>
  <c r="G1277" i="7"/>
  <c r="E1277" i="7"/>
  <c r="H1276" i="7"/>
  <c r="G1276" i="7"/>
  <c r="E1276" i="7"/>
  <c r="H1275" i="7"/>
  <c r="G1275" i="7"/>
  <c r="E1275" i="7"/>
  <c r="H1274" i="7"/>
  <c r="G1274" i="7"/>
  <c r="E1274" i="7"/>
  <c r="H1273" i="7"/>
  <c r="G1273" i="7"/>
  <c r="E1273" i="7"/>
  <c r="H1272" i="7"/>
  <c r="G1272" i="7"/>
  <c r="E1272" i="7"/>
  <c r="H1271" i="7"/>
  <c r="G1271" i="7"/>
  <c r="E1271" i="7"/>
  <c r="H1270" i="7"/>
  <c r="G1270" i="7"/>
  <c r="E1270" i="7"/>
  <c r="H1269" i="7"/>
  <c r="G1269" i="7"/>
  <c r="E1269" i="7"/>
  <c r="H1268" i="7"/>
  <c r="G1268" i="7"/>
  <c r="E1268" i="7"/>
  <c r="H1267" i="7"/>
  <c r="G1267" i="7"/>
  <c r="E1267" i="7"/>
  <c r="H1266" i="7"/>
  <c r="G1266" i="7"/>
  <c r="E1266" i="7"/>
  <c r="H1265" i="7"/>
  <c r="G1265" i="7"/>
  <c r="E1265" i="7"/>
  <c r="H1264" i="7"/>
  <c r="G1264" i="7"/>
  <c r="E1264" i="7"/>
  <c r="H1263" i="7"/>
  <c r="G1263" i="7"/>
  <c r="E1263" i="7"/>
  <c r="H1262" i="7"/>
  <c r="G1262" i="7"/>
  <c r="E1262" i="7"/>
  <c r="H1261" i="7"/>
  <c r="G1261" i="7"/>
  <c r="E1261" i="7"/>
  <c r="H1260" i="7"/>
  <c r="G1260" i="7"/>
  <c r="E1260" i="7"/>
  <c r="H1259" i="7"/>
  <c r="G1259" i="7"/>
  <c r="E1259" i="7"/>
  <c r="H1258" i="7"/>
  <c r="G1258" i="7"/>
  <c r="E1258" i="7"/>
  <c r="H1257" i="7"/>
  <c r="G1257" i="7"/>
  <c r="E1257" i="7"/>
  <c r="H1256" i="7"/>
  <c r="G1256" i="7"/>
  <c r="E1256" i="7"/>
  <c r="H1255" i="7"/>
  <c r="G1255" i="7"/>
  <c r="E1255" i="7"/>
  <c r="H1254" i="7"/>
  <c r="G1254" i="7"/>
  <c r="E1254" i="7"/>
  <c r="H1253" i="7"/>
  <c r="G1253" i="7"/>
  <c r="E1253" i="7"/>
  <c r="H1252" i="7"/>
  <c r="G1252" i="7"/>
  <c r="E1252" i="7"/>
  <c r="H1251" i="7"/>
  <c r="G1251" i="7"/>
  <c r="E1251" i="7"/>
  <c r="H1250" i="7"/>
  <c r="G1250" i="7"/>
  <c r="E1250" i="7"/>
  <c r="H1249" i="7"/>
  <c r="G1249" i="7"/>
  <c r="E1249" i="7"/>
  <c r="H1248" i="7"/>
  <c r="G1248" i="7"/>
  <c r="E1248" i="7"/>
  <c r="H1247" i="7"/>
  <c r="G1247" i="7"/>
  <c r="E1247" i="7"/>
  <c r="H1246" i="7"/>
  <c r="G1246" i="7"/>
  <c r="E1246" i="7"/>
  <c r="H1245" i="7"/>
  <c r="G1245" i="7"/>
  <c r="E1245" i="7"/>
  <c r="H1244" i="7"/>
  <c r="G1244" i="7"/>
  <c r="E1244" i="7"/>
  <c r="H1243" i="7"/>
  <c r="G1243" i="7"/>
  <c r="E1243" i="7"/>
  <c r="H1242" i="7"/>
  <c r="G1242" i="7"/>
  <c r="E1242" i="7"/>
  <c r="H1241" i="7"/>
  <c r="G1241" i="7"/>
  <c r="E1241" i="7"/>
  <c r="H1240" i="7"/>
  <c r="G1240" i="7"/>
  <c r="E1240" i="7"/>
  <c r="H1239" i="7"/>
  <c r="G1239" i="7"/>
  <c r="E1239" i="7"/>
  <c r="H1238" i="7"/>
  <c r="G1238" i="7"/>
  <c r="E1238" i="7"/>
  <c r="H1237" i="7"/>
  <c r="G1237" i="7"/>
  <c r="E1237" i="7"/>
  <c r="H1236" i="7"/>
  <c r="G1236" i="7"/>
  <c r="E1236" i="7"/>
  <c r="H1235" i="7"/>
  <c r="G1235" i="7"/>
  <c r="E1235" i="7"/>
  <c r="H1234" i="7"/>
  <c r="G1234" i="7"/>
  <c r="E1234" i="7"/>
  <c r="H1233" i="7"/>
  <c r="G1233" i="7"/>
  <c r="E1233" i="7"/>
  <c r="H1232" i="7"/>
  <c r="G1232" i="7"/>
  <c r="E1232" i="7"/>
  <c r="H1231" i="7"/>
  <c r="G1231" i="7"/>
  <c r="E1231" i="7"/>
  <c r="H1230" i="7"/>
  <c r="G1230" i="7"/>
  <c r="E1230" i="7"/>
  <c r="H1229" i="7"/>
  <c r="G1229" i="7"/>
  <c r="E1229" i="7"/>
  <c r="H1228" i="7"/>
  <c r="G1228" i="7"/>
  <c r="E1228" i="7"/>
  <c r="H1227" i="7"/>
  <c r="G1227" i="7"/>
  <c r="E1227" i="7"/>
  <c r="H1226" i="7"/>
  <c r="G1226" i="7"/>
  <c r="E1226" i="7"/>
  <c r="H1225" i="7"/>
  <c r="G1225" i="7"/>
  <c r="E1225" i="7"/>
  <c r="H1224" i="7"/>
  <c r="G1224" i="7"/>
  <c r="E1224" i="7"/>
  <c r="H1223" i="7"/>
  <c r="G1223" i="7"/>
  <c r="E1223" i="7"/>
  <c r="H1222" i="7"/>
  <c r="G1222" i="7"/>
  <c r="E1222" i="7"/>
  <c r="H1221" i="7"/>
  <c r="G1221" i="7"/>
  <c r="E1221" i="7"/>
  <c r="H1220" i="7"/>
  <c r="G1220" i="7"/>
  <c r="E1220" i="7"/>
  <c r="H1219" i="7"/>
  <c r="G1219" i="7"/>
  <c r="E1219" i="7"/>
  <c r="H1218" i="7"/>
  <c r="G1218" i="7"/>
  <c r="E1218" i="7"/>
  <c r="H1217" i="7"/>
  <c r="G1217" i="7"/>
  <c r="E1217" i="7"/>
  <c r="H1216" i="7"/>
  <c r="G1216" i="7"/>
  <c r="E1216" i="7"/>
  <c r="H1215" i="7"/>
  <c r="G1215" i="7"/>
  <c r="E1215" i="7"/>
  <c r="H1214" i="7"/>
  <c r="G1214" i="7"/>
  <c r="E1214" i="7"/>
  <c r="H1213" i="7"/>
  <c r="G1213" i="7"/>
  <c r="E1213" i="7"/>
  <c r="H1212" i="7"/>
  <c r="G1212" i="7"/>
  <c r="E1212" i="7"/>
  <c r="H1211" i="7"/>
  <c r="G1211" i="7"/>
  <c r="E1211" i="7"/>
  <c r="H1210" i="7"/>
  <c r="G1210" i="7"/>
  <c r="E1210" i="7"/>
  <c r="H1209" i="7"/>
  <c r="G1209" i="7"/>
  <c r="E1209" i="7"/>
  <c r="H1208" i="7"/>
  <c r="G1208" i="7"/>
  <c r="E1208" i="7"/>
  <c r="H1207" i="7"/>
  <c r="G1207" i="7"/>
  <c r="E1207" i="7"/>
  <c r="H1206" i="7"/>
  <c r="G1206" i="7"/>
  <c r="E1206" i="7"/>
  <c r="H1205" i="7"/>
  <c r="G1205" i="7"/>
  <c r="E1205" i="7"/>
  <c r="H1204" i="7"/>
  <c r="G1204" i="7"/>
  <c r="E1204" i="7"/>
  <c r="H1203" i="7"/>
  <c r="G1203" i="7"/>
  <c r="E1203" i="7"/>
  <c r="H1202" i="7"/>
  <c r="G1202" i="7"/>
  <c r="E1202" i="7"/>
  <c r="H1201" i="7"/>
  <c r="G1201" i="7"/>
  <c r="E1201" i="7"/>
  <c r="H1200" i="7"/>
  <c r="G1200" i="7"/>
  <c r="E1200" i="7"/>
  <c r="H1199" i="7"/>
  <c r="G1199" i="7"/>
  <c r="E1199" i="7"/>
  <c r="H1198" i="7"/>
  <c r="G1198" i="7"/>
  <c r="E1198" i="7"/>
  <c r="H1197" i="7"/>
  <c r="G1197" i="7"/>
  <c r="E1197" i="7"/>
  <c r="H1196" i="7"/>
  <c r="G1196" i="7"/>
  <c r="E1196" i="7"/>
  <c r="H1195" i="7"/>
  <c r="G1195" i="7"/>
  <c r="E1195" i="7"/>
  <c r="H1194" i="7"/>
  <c r="G1194" i="7"/>
  <c r="E1194" i="7"/>
  <c r="H1193" i="7"/>
  <c r="G1193" i="7"/>
  <c r="E1193" i="7"/>
  <c r="H1192" i="7"/>
  <c r="G1192" i="7"/>
  <c r="E1192" i="7"/>
  <c r="H1191" i="7"/>
  <c r="G1191" i="7"/>
  <c r="E1191" i="7"/>
  <c r="H1190" i="7"/>
  <c r="G1190" i="7"/>
  <c r="E1190" i="7"/>
  <c r="H1189" i="7"/>
  <c r="G1189" i="7"/>
  <c r="E1189" i="7"/>
  <c r="H1188" i="7"/>
  <c r="G1188" i="7"/>
  <c r="E1188" i="7"/>
  <c r="H1187" i="7"/>
  <c r="G1187" i="7"/>
  <c r="E1187" i="7"/>
  <c r="H1186" i="7"/>
  <c r="G1186" i="7"/>
  <c r="E1186" i="7"/>
  <c r="H1185" i="7"/>
  <c r="G1185" i="7"/>
  <c r="E1185" i="7"/>
  <c r="H1184" i="7"/>
  <c r="G1184" i="7"/>
  <c r="E1184" i="7"/>
  <c r="H1183" i="7"/>
  <c r="G1183" i="7"/>
  <c r="H1182" i="7"/>
  <c r="G1182" i="7"/>
  <c r="E1182" i="7"/>
  <c r="H1181" i="7"/>
  <c r="G1181" i="7"/>
  <c r="E1181" i="7"/>
  <c r="H1180" i="7"/>
  <c r="G1180" i="7"/>
  <c r="E1180" i="7"/>
  <c r="H1179" i="7"/>
  <c r="G1179" i="7"/>
  <c r="E1179" i="7"/>
  <c r="H1178" i="7"/>
  <c r="G1178" i="7"/>
  <c r="E1178" i="7"/>
  <c r="H1177" i="7"/>
  <c r="G1177" i="7"/>
  <c r="E1177" i="7"/>
  <c r="H1176" i="7"/>
  <c r="G1176" i="7"/>
  <c r="E1176" i="7"/>
  <c r="H1175" i="7"/>
  <c r="G1175" i="7"/>
  <c r="E1175" i="7"/>
  <c r="H1174" i="7"/>
  <c r="G1174" i="7"/>
  <c r="E1174" i="7"/>
  <c r="H1173" i="7"/>
  <c r="G1173" i="7"/>
  <c r="E1173" i="7"/>
  <c r="H1172" i="7"/>
  <c r="G1172" i="7"/>
  <c r="E1172" i="7"/>
  <c r="H1171" i="7"/>
  <c r="G1171" i="7"/>
  <c r="E1171" i="7"/>
  <c r="H1170" i="7"/>
  <c r="G1170" i="7"/>
  <c r="E1170" i="7"/>
  <c r="H1169" i="7"/>
  <c r="G1169" i="7"/>
  <c r="E1169" i="7"/>
  <c r="H1168" i="7"/>
  <c r="G1168" i="7"/>
  <c r="E1168" i="7"/>
  <c r="H1167" i="7"/>
  <c r="G1167" i="7"/>
  <c r="E1167" i="7"/>
  <c r="H1166" i="7"/>
  <c r="G1166" i="7"/>
  <c r="E1166" i="7"/>
  <c r="H1165" i="7"/>
  <c r="G1165" i="7"/>
  <c r="E1165" i="7"/>
  <c r="H1164" i="7"/>
  <c r="G1164" i="7"/>
  <c r="E1164" i="7"/>
  <c r="H1163" i="7"/>
  <c r="G1163" i="7"/>
  <c r="E1163" i="7"/>
  <c r="H1162" i="7"/>
  <c r="G1162" i="7"/>
  <c r="E1162" i="7"/>
  <c r="H1161" i="7"/>
  <c r="G1161" i="7"/>
  <c r="E1161" i="7"/>
  <c r="H1160" i="7"/>
  <c r="G1160" i="7"/>
  <c r="E1160" i="7"/>
  <c r="H1159" i="7"/>
  <c r="G1159" i="7"/>
  <c r="E1159" i="7"/>
  <c r="H1158" i="7"/>
  <c r="G1158" i="7"/>
  <c r="E1158" i="7"/>
  <c r="H1156" i="7"/>
  <c r="G1156" i="7"/>
  <c r="E1156" i="7"/>
  <c r="H1155" i="7"/>
  <c r="G1155" i="7"/>
  <c r="E1155" i="7"/>
  <c r="H1154" i="7"/>
  <c r="G1154" i="7"/>
  <c r="E1154" i="7"/>
  <c r="H1153" i="7"/>
  <c r="G1153" i="7"/>
  <c r="E1153" i="7"/>
  <c r="H1152" i="7"/>
  <c r="G1152" i="7"/>
  <c r="E1152" i="7"/>
  <c r="H1151" i="7"/>
  <c r="G1151" i="7"/>
  <c r="E1151" i="7"/>
  <c r="H1150" i="7"/>
  <c r="G1150" i="7"/>
  <c r="E1150" i="7"/>
  <c r="H1149" i="7"/>
  <c r="G1149" i="7"/>
  <c r="E1149" i="7"/>
  <c r="H1148" i="7"/>
  <c r="G1148" i="7"/>
  <c r="E1148" i="7"/>
  <c r="H1147" i="7"/>
  <c r="G1147" i="7"/>
  <c r="E1147" i="7"/>
  <c r="H1146" i="7"/>
  <c r="G1146" i="7"/>
  <c r="E1146" i="7"/>
  <c r="H1145" i="7"/>
  <c r="G1145" i="7"/>
  <c r="E1145" i="7"/>
  <c r="H1144" i="7"/>
  <c r="G1144" i="7"/>
  <c r="E1144" i="7"/>
  <c r="H1143" i="7"/>
  <c r="G1143" i="7"/>
  <c r="E1143" i="7"/>
  <c r="H1142" i="7"/>
  <c r="G1142" i="7"/>
  <c r="E1142" i="7"/>
  <c r="H1141" i="7"/>
  <c r="G1141" i="7"/>
  <c r="E1141" i="7"/>
  <c r="H1140" i="7"/>
  <c r="G1140" i="7"/>
  <c r="E1140" i="7"/>
  <c r="H1139" i="7"/>
  <c r="G1139" i="7"/>
  <c r="E1139" i="7"/>
  <c r="H1138" i="7"/>
  <c r="G1138" i="7"/>
  <c r="E1138" i="7"/>
  <c r="H1137" i="7"/>
  <c r="G1137" i="7"/>
  <c r="E1137" i="7"/>
  <c r="H1136" i="7"/>
  <c r="G1136" i="7"/>
  <c r="E1136" i="7"/>
  <c r="H1135" i="7"/>
  <c r="G1135" i="7"/>
  <c r="E1135" i="7"/>
  <c r="H1134" i="7"/>
  <c r="G1134" i="7"/>
  <c r="E1134" i="7"/>
  <c r="H1133" i="7"/>
  <c r="G1133" i="7"/>
  <c r="E1133" i="7"/>
  <c r="H1132" i="7"/>
  <c r="G1132" i="7"/>
  <c r="E1132" i="7"/>
  <c r="H1131" i="7"/>
  <c r="G1131" i="7"/>
  <c r="E1131" i="7"/>
  <c r="H1130" i="7"/>
  <c r="G1130" i="7"/>
  <c r="E1130" i="7"/>
  <c r="H1129" i="7"/>
  <c r="G1129" i="7"/>
  <c r="E1129" i="7"/>
  <c r="H1128" i="7"/>
  <c r="G1128" i="7"/>
  <c r="E1128" i="7"/>
  <c r="H1127" i="7"/>
  <c r="G1127" i="7"/>
  <c r="E1127" i="7"/>
  <c r="H1126" i="7"/>
  <c r="G1126" i="7"/>
  <c r="E1126" i="7"/>
  <c r="H1125" i="7"/>
  <c r="G1125" i="7"/>
  <c r="E1125" i="7"/>
  <c r="H1124" i="7"/>
  <c r="G1124" i="7"/>
  <c r="E1124" i="7"/>
  <c r="H1123" i="7"/>
  <c r="G1123" i="7"/>
  <c r="E1123" i="7"/>
  <c r="H1122" i="7"/>
  <c r="G1122" i="7"/>
  <c r="E1122" i="7"/>
  <c r="H1121" i="7"/>
  <c r="G1121" i="7"/>
  <c r="E1121" i="7"/>
  <c r="H1120" i="7"/>
  <c r="G1120" i="7"/>
  <c r="E1120" i="7"/>
  <c r="H1119" i="7"/>
  <c r="G1119" i="7"/>
  <c r="E1119" i="7"/>
  <c r="H1118" i="7"/>
  <c r="G1118" i="7"/>
  <c r="E1118" i="7"/>
  <c r="H1117" i="7"/>
  <c r="G1117" i="7"/>
  <c r="E1117" i="7"/>
  <c r="H1116" i="7"/>
  <c r="G1116" i="7"/>
  <c r="E1116" i="7"/>
  <c r="H1115" i="7"/>
  <c r="G1115" i="7"/>
  <c r="E1115" i="7"/>
  <c r="H1114" i="7"/>
  <c r="G1114" i="7"/>
  <c r="E1114" i="7"/>
  <c r="H1113" i="7"/>
  <c r="G1113" i="7"/>
  <c r="E1113" i="7"/>
  <c r="H1112" i="7"/>
  <c r="G1112" i="7"/>
  <c r="E1112" i="7"/>
  <c r="H1111" i="7"/>
  <c r="G1111" i="7"/>
  <c r="E1111" i="7"/>
  <c r="H1110" i="7"/>
  <c r="G1110" i="7"/>
  <c r="E1110" i="7"/>
  <c r="H1109" i="7"/>
  <c r="G1109" i="7"/>
  <c r="E1109" i="7"/>
  <c r="H1108" i="7"/>
  <c r="G1108" i="7"/>
  <c r="E1108" i="7"/>
  <c r="H1107" i="7"/>
  <c r="G1107" i="7"/>
  <c r="E1107" i="7"/>
  <c r="H1106" i="7"/>
  <c r="G1106" i="7"/>
  <c r="E1106" i="7"/>
  <c r="H1105" i="7"/>
  <c r="G1105" i="7"/>
  <c r="E1105" i="7"/>
  <c r="H1104" i="7"/>
  <c r="G1104" i="7"/>
  <c r="E1104" i="7"/>
  <c r="H1103" i="7"/>
  <c r="G1103" i="7"/>
  <c r="E1103" i="7"/>
  <c r="H1102" i="7"/>
  <c r="G1102" i="7"/>
  <c r="E1102" i="7"/>
  <c r="H1101" i="7"/>
  <c r="G1101" i="7"/>
  <c r="E1101" i="7"/>
  <c r="H1100" i="7"/>
  <c r="G1100" i="7"/>
  <c r="E1100" i="7"/>
  <c r="H1099" i="7"/>
  <c r="G1099" i="7"/>
  <c r="E1099" i="7"/>
  <c r="H1098" i="7"/>
  <c r="G1098" i="7"/>
  <c r="E1098" i="7"/>
  <c r="H1097" i="7"/>
  <c r="G1097" i="7"/>
  <c r="E1097" i="7"/>
  <c r="H1096" i="7"/>
  <c r="G1096" i="7"/>
  <c r="E1096" i="7"/>
  <c r="H1095" i="7"/>
  <c r="G1095" i="7"/>
  <c r="E1095" i="7"/>
  <c r="H1094" i="7"/>
  <c r="G1094" i="7"/>
  <c r="E1094" i="7"/>
  <c r="H1093" i="7"/>
  <c r="G1093" i="7"/>
  <c r="E1093" i="7"/>
  <c r="H1092" i="7"/>
  <c r="G1092" i="7"/>
  <c r="E1092" i="7"/>
  <c r="H1091" i="7"/>
  <c r="G1091" i="7"/>
  <c r="E1091" i="7"/>
  <c r="H1090" i="7"/>
  <c r="G1090" i="7"/>
  <c r="E1090" i="7"/>
  <c r="H1089" i="7"/>
  <c r="G1089" i="7"/>
  <c r="E1089" i="7"/>
  <c r="H1088" i="7"/>
  <c r="G1088" i="7"/>
  <c r="E1088" i="7"/>
  <c r="H1087" i="7"/>
  <c r="G1087" i="7"/>
  <c r="E1087" i="7"/>
  <c r="H1086" i="7"/>
  <c r="G1086" i="7"/>
  <c r="E1086" i="7"/>
  <c r="H1085" i="7"/>
  <c r="G1085" i="7"/>
  <c r="E1085" i="7"/>
  <c r="H1084" i="7"/>
  <c r="G1084" i="7"/>
  <c r="E1084" i="7"/>
  <c r="H1083" i="7"/>
  <c r="G1083" i="7"/>
  <c r="E1083" i="7"/>
  <c r="H1082" i="7"/>
  <c r="G1082" i="7"/>
  <c r="E1082" i="7"/>
  <c r="H1081" i="7"/>
  <c r="G1081" i="7"/>
  <c r="E1081" i="7"/>
  <c r="H1080" i="7"/>
  <c r="G1080" i="7"/>
  <c r="E1080" i="7"/>
  <c r="H1079" i="7"/>
  <c r="G1079" i="7"/>
  <c r="E1079" i="7"/>
  <c r="H1078" i="7"/>
  <c r="G1078" i="7"/>
  <c r="E1078" i="7"/>
  <c r="H1077" i="7"/>
  <c r="G1077" i="7"/>
  <c r="E1077" i="7"/>
  <c r="H1076" i="7"/>
  <c r="G1076" i="7"/>
  <c r="E1076" i="7"/>
  <c r="H1075" i="7"/>
  <c r="G1075" i="7"/>
  <c r="E1075" i="7"/>
  <c r="H1074" i="7"/>
  <c r="G1074" i="7"/>
  <c r="E1074" i="7"/>
  <c r="H1073" i="7"/>
  <c r="G1073" i="7"/>
  <c r="E1073" i="7"/>
  <c r="H1072" i="7"/>
  <c r="G1072" i="7"/>
  <c r="E1072" i="7"/>
  <c r="H1071" i="7"/>
  <c r="G1071" i="7"/>
  <c r="E1071" i="7"/>
  <c r="H1070" i="7"/>
  <c r="G1070" i="7"/>
  <c r="E1070" i="7"/>
  <c r="H1069" i="7"/>
  <c r="G1069" i="7"/>
  <c r="E1069" i="7"/>
  <c r="H1068" i="7"/>
  <c r="G1068" i="7"/>
  <c r="E1068" i="7"/>
  <c r="H1067" i="7"/>
  <c r="G1067" i="7"/>
  <c r="E1067" i="7"/>
  <c r="H1066" i="7"/>
  <c r="G1066" i="7"/>
  <c r="E1066" i="7"/>
  <c r="H1065" i="7"/>
  <c r="G1065" i="7"/>
  <c r="E1065" i="7"/>
  <c r="H1064" i="7"/>
  <c r="G1064" i="7"/>
  <c r="E1064" i="7"/>
  <c r="H1063" i="7"/>
  <c r="G1063" i="7"/>
  <c r="E1063" i="7"/>
  <c r="H1062" i="7"/>
  <c r="G1062" i="7"/>
  <c r="E1062" i="7"/>
  <c r="H1061" i="7"/>
  <c r="G1061" i="7"/>
  <c r="E1061" i="7"/>
  <c r="H1060" i="7"/>
  <c r="G1060" i="7"/>
  <c r="E1060" i="7"/>
  <c r="H1059" i="7"/>
  <c r="G1059" i="7"/>
  <c r="E1059" i="7"/>
  <c r="H1058" i="7"/>
  <c r="G1058" i="7"/>
  <c r="E1058" i="7"/>
  <c r="H1057" i="7"/>
  <c r="G1057" i="7"/>
  <c r="E1057" i="7"/>
  <c r="H1056" i="7"/>
  <c r="G1056" i="7"/>
  <c r="E1056" i="7"/>
  <c r="H1055" i="7"/>
  <c r="G1055" i="7"/>
  <c r="E1055" i="7"/>
  <c r="H1054" i="7"/>
  <c r="G1054" i="7"/>
  <c r="E1054" i="7"/>
  <c r="H1053" i="7"/>
  <c r="G1053" i="7"/>
  <c r="E1053" i="7"/>
  <c r="H1052" i="7"/>
  <c r="G1052" i="7"/>
  <c r="E1052" i="7"/>
  <c r="H1051" i="7"/>
  <c r="G1051" i="7"/>
  <c r="E1051" i="7"/>
  <c r="H1050" i="7"/>
  <c r="G1050" i="7"/>
  <c r="E1050" i="7"/>
  <c r="H1049" i="7"/>
  <c r="G1049" i="7"/>
  <c r="E1049" i="7"/>
  <c r="H1048" i="7"/>
  <c r="G1048" i="7"/>
  <c r="E1048" i="7"/>
  <c r="H1047" i="7"/>
  <c r="G1047" i="7"/>
  <c r="E1047" i="7"/>
  <c r="H1046" i="7"/>
  <c r="G1046" i="7"/>
  <c r="E1046" i="7"/>
  <c r="H1045" i="7"/>
  <c r="G1045" i="7"/>
  <c r="E1045" i="7"/>
  <c r="H1044" i="7"/>
  <c r="G1044" i="7"/>
  <c r="E1044" i="7"/>
  <c r="H1043" i="7"/>
  <c r="G1043" i="7"/>
  <c r="E1043" i="7"/>
  <c r="H1042" i="7"/>
  <c r="G1042" i="7"/>
  <c r="E1042" i="7"/>
  <c r="H1041" i="7"/>
  <c r="G1041" i="7"/>
  <c r="E1041" i="7"/>
  <c r="H1040" i="7"/>
  <c r="G1040" i="7"/>
  <c r="E1040" i="7"/>
  <c r="H1039" i="7"/>
  <c r="G1039" i="7"/>
  <c r="E1039" i="7"/>
  <c r="H1038" i="7"/>
  <c r="G1038" i="7"/>
  <c r="E1038" i="7"/>
  <c r="H1037" i="7"/>
  <c r="G1037" i="7"/>
  <c r="E1037" i="7"/>
  <c r="H1036" i="7"/>
  <c r="G1036" i="7"/>
  <c r="E1036" i="7"/>
  <c r="H1035" i="7"/>
  <c r="G1035" i="7"/>
  <c r="E1035" i="7"/>
  <c r="H1034" i="7"/>
  <c r="G1034" i="7"/>
  <c r="E1034" i="7"/>
  <c r="H1033" i="7"/>
  <c r="G1033" i="7"/>
  <c r="E1033" i="7"/>
  <c r="H1032" i="7"/>
  <c r="G1032" i="7"/>
  <c r="E1032" i="7"/>
  <c r="H1031" i="7"/>
  <c r="G1031" i="7"/>
  <c r="E1031" i="7"/>
  <c r="H1030" i="7"/>
  <c r="G1030" i="7"/>
  <c r="E1030" i="7"/>
  <c r="H1029" i="7"/>
  <c r="G1029" i="7"/>
  <c r="E1029" i="7"/>
  <c r="H1028" i="7"/>
  <c r="G1028" i="7"/>
  <c r="E1028" i="7"/>
  <c r="H1027" i="7"/>
  <c r="G1027" i="7"/>
  <c r="E1027" i="7"/>
  <c r="H1026" i="7"/>
  <c r="G1026" i="7"/>
  <c r="E1026" i="7"/>
  <c r="H1025" i="7"/>
  <c r="G1025" i="7"/>
  <c r="E1025" i="7"/>
  <c r="H1024" i="7"/>
  <c r="G1024" i="7"/>
  <c r="E1024" i="7"/>
  <c r="H1023" i="7"/>
  <c r="G1023" i="7"/>
  <c r="E1023" i="7"/>
  <c r="H1022" i="7"/>
  <c r="G1022" i="7"/>
  <c r="E1022" i="7"/>
  <c r="H1021" i="7"/>
  <c r="G1021" i="7"/>
  <c r="E1021" i="7"/>
  <c r="H1020" i="7"/>
  <c r="G1020" i="7"/>
  <c r="E1020" i="7"/>
  <c r="H1019" i="7"/>
  <c r="G1019" i="7"/>
  <c r="E1019" i="7"/>
  <c r="H1018" i="7"/>
  <c r="G1018" i="7"/>
  <c r="E1018" i="7"/>
  <c r="H1017" i="7"/>
  <c r="G1017" i="7"/>
  <c r="E1017" i="7"/>
  <c r="H1016" i="7"/>
  <c r="G1016" i="7"/>
  <c r="E1016" i="7"/>
  <c r="H1015" i="7"/>
  <c r="G1015" i="7"/>
  <c r="E1015" i="7"/>
  <c r="H1014" i="7"/>
  <c r="G1014" i="7"/>
  <c r="E1014" i="7"/>
  <c r="H1013" i="7"/>
  <c r="G1013" i="7"/>
  <c r="E1013" i="7"/>
  <c r="H1012" i="7"/>
  <c r="G1012" i="7"/>
  <c r="E1012" i="7"/>
  <c r="H1011" i="7"/>
  <c r="G1011" i="7"/>
  <c r="E1011" i="7"/>
  <c r="H1010" i="7"/>
  <c r="G1010" i="7"/>
  <c r="E1010" i="7"/>
  <c r="H1009" i="7"/>
  <c r="G1009" i="7"/>
  <c r="E1009" i="7"/>
  <c r="H1008" i="7"/>
  <c r="G1008" i="7"/>
  <c r="E1008" i="7"/>
  <c r="H1007" i="7"/>
  <c r="G1007" i="7"/>
  <c r="E1007" i="7"/>
  <c r="H1006" i="7"/>
  <c r="G1006" i="7"/>
  <c r="E1006" i="7"/>
  <c r="H1005" i="7"/>
  <c r="G1005" i="7"/>
  <c r="E1005" i="7"/>
  <c r="H1004" i="7"/>
  <c r="G1004" i="7"/>
  <c r="E1004" i="7"/>
  <c r="H1003" i="7"/>
  <c r="G1003" i="7"/>
  <c r="E1003" i="7"/>
  <c r="H1002" i="7"/>
  <c r="G1002" i="7"/>
  <c r="E1002" i="7"/>
  <c r="H1001" i="7"/>
  <c r="G1001" i="7"/>
  <c r="E1001" i="7"/>
  <c r="H1000" i="7"/>
  <c r="G1000" i="7"/>
  <c r="E1000" i="7"/>
  <c r="H999" i="7"/>
  <c r="G999" i="7"/>
  <c r="E999" i="7"/>
  <c r="H998" i="7"/>
  <c r="G998" i="7"/>
  <c r="E998" i="7"/>
  <c r="H997" i="7"/>
  <c r="G997" i="7"/>
  <c r="E997" i="7"/>
  <c r="H996" i="7"/>
  <c r="G996" i="7"/>
  <c r="E996" i="7"/>
  <c r="H995" i="7"/>
  <c r="G995" i="7"/>
  <c r="E995" i="7"/>
  <c r="H994" i="7"/>
  <c r="G994" i="7"/>
  <c r="E994" i="7"/>
  <c r="H993" i="7"/>
  <c r="G993" i="7"/>
  <c r="E993" i="7"/>
  <c r="H992" i="7"/>
  <c r="G992" i="7"/>
  <c r="E992" i="7"/>
  <c r="H991" i="7"/>
  <c r="G991" i="7"/>
  <c r="E991" i="7"/>
  <c r="H990" i="7"/>
  <c r="G990" i="7"/>
  <c r="E990" i="7"/>
  <c r="H989" i="7"/>
  <c r="G989" i="7"/>
  <c r="E989" i="7"/>
  <c r="H988" i="7"/>
  <c r="G988" i="7"/>
  <c r="E988" i="7"/>
  <c r="H987" i="7"/>
  <c r="G987" i="7"/>
  <c r="E987" i="7"/>
  <c r="H986" i="7"/>
  <c r="G986" i="7"/>
  <c r="E986" i="7"/>
  <c r="H985" i="7"/>
  <c r="G985" i="7"/>
  <c r="E985" i="7"/>
  <c r="H984" i="7"/>
  <c r="G984" i="7"/>
  <c r="E984" i="7"/>
  <c r="H983" i="7"/>
  <c r="G983" i="7"/>
  <c r="E983" i="7"/>
  <c r="H982" i="7"/>
  <c r="G982" i="7"/>
  <c r="E982" i="7"/>
  <c r="H980" i="7"/>
  <c r="G980" i="7"/>
  <c r="E980" i="7"/>
  <c r="H979" i="7"/>
  <c r="G979" i="7"/>
  <c r="E979" i="7"/>
  <c r="H978" i="7"/>
  <c r="G978" i="7"/>
  <c r="E978" i="7"/>
  <c r="H977" i="7"/>
  <c r="G977" i="7"/>
  <c r="E977" i="7"/>
  <c r="H976" i="7"/>
  <c r="G976" i="7"/>
  <c r="E976" i="7"/>
  <c r="H975" i="7"/>
  <c r="G975" i="7"/>
  <c r="E975" i="7"/>
  <c r="H974" i="7"/>
  <c r="G974" i="7"/>
  <c r="E974" i="7"/>
  <c r="H973" i="7"/>
  <c r="G973" i="7"/>
  <c r="E973" i="7"/>
  <c r="H972" i="7"/>
  <c r="G972" i="7"/>
  <c r="E972" i="7"/>
  <c r="H971" i="7"/>
  <c r="G971" i="7"/>
  <c r="E971" i="7"/>
  <c r="H970" i="7"/>
  <c r="G970" i="7"/>
  <c r="E970" i="7"/>
  <c r="H969" i="7"/>
  <c r="G969" i="7"/>
  <c r="E969" i="7"/>
  <c r="H968" i="7"/>
  <c r="G968" i="7"/>
  <c r="E968" i="7"/>
  <c r="H967" i="7"/>
  <c r="G967" i="7"/>
  <c r="E967" i="7"/>
  <c r="H966" i="7"/>
  <c r="G966" i="7"/>
  <c r="E966" i="7"/>
  <c r="H965" i="7"/>
  <c r="G965" i="7"/>
  <c r="E965" i="7"/>
  <c r="H964" i="7"/>
  <c r="G964" i="7"/>
  <c r="E964" i="7"/>
  <c r="H963" i="7"/>
  <c r="G963" i="7"/>
  <c r="E963" i="7"/>
  <c r="H962" i="7"/>
  <c r="G962" i="7"/>
  <c r="E962" i="7"/>
  <c r="H961" i="7"/>
  <c r="G961" i="7"/>
  <c r="E961" i="7"/>
  <c r="H960" i="7"/>
  <c r="G960" i="7"/>
  <c r="E960" i="7"/>
  <c r="H959" i="7"/>
  <c r="G959" i="7"/>
  <c r="E959" i="7"/>
  <c r="H958" i="7"/>
  <c r="G958" i="7"/>
  <c r="E958" i="7"/>
  <c r="H957" i="7"/>
  <c r="G957" i="7"/>
  <c r="E957" i="7"/>
  <c r="H956" i="7"/>
  <c r="G956" i="7"/>
  <c r="E956" i="7"/>
  <c r="H955" i="7"/>
  <c r="G955" i="7"/>
  <c r="E955" i="7"/>
  <c r="H954" i="7"/>
  <c r="G954" i="7"/>
  <c r="E954" i="7"/>
  <c r="H952" i="7"/>
  <c r="G952" i="7"/>
  <c r="E952" i="7"/>
  <c r="H951" i="7"/>
  <c r="G951" i="7"/>
  <c r="E951" i="7"/>
  <c r="H950" i="7"/>
  <c r="G950" i="7"/>
  <c r="E950" i="7"/>
  <c r="H949" i="7"/>
  <c r="G949" i="7"/>
  <c r="E949" i="7"/>
  <c r="H948" i="7"/>
  <c r="G948" i="7"/>
  <c r="E948" i="7"/>
  <c r="H947" i="7"/>
  <c r="G947" i="7"/>
  <c r="E947" i="7"/>
  <c r="H946" i="7"/>
  <c r="G946" i="7"/>
  <c r="E946" i="7"/>
  <c r="H945" i="7"/>
  <c r="G945" i="7"/>
  <c r="E945" i="7"/>
  <c r="H944" i="7"/>
  <c r="G944" i="7"/>
  <c r="E944" i="7"/>
  <c r="H943" i="7"/>
  <c r="G943" i="7"/>
  <c r="E943" i="7"/>
  <c r="H942" i="7"/>
  <c r="G942" i="7"/>
  <c r="E942" i="7"/>
  <c r="H941" i="7"/>
  <c r="G941" i="7"/>
  <c r="E941" i="7"/>
  <c r="H940" i="7"/>
  <c r="G940" i="7"/>
  <c r="E940" i="7"/>
  <c r="H939" i="7"/>
  <c r="G939" i="7"/>
  <c r="E939" i="7"/>
  <c r="H938" i="7"/>
  <c r="G938" i="7"/>
  <c r="E938" i="7"/>
  <c r="H937" i="7"/>
  <c r="G937" i="7"/>
  <c r="E937" i="7"/>
  <c r="H936" i="7"/>
  <c r="G936" i="7"/>
  <c r="E936" i="7"/>
  <c r="H935" i="7"/>
  <c r="G935" i="7"/>
  <c r="E935" i="7"/>
  <c r="H934" i="7"/>
  <c r="G934" i="7"/>
  <c r="E934" i="7"/>
  <c r="H933" i="7"/>
  <c r="G933" i="7"/>
  <c r="E933" i="7"/>
  <c r="H932" i="7"/>
  <c r="G932" i="7"/>
  <c r="E932" i="7"/>
  <c r="H931" i="7"/>
  <c r="G931" i="7"/>
  <c r="E931" i="7"/>
  <c r="H930" i="7"/>
  <c r="G930" i="7"/>
  <c r="E930" i="7"/>
  <c r="H929" i="7"/>
  <c r="G929" i="7"/>
  <c r="E929" i="7"/>
  <c r="H928" i="7"/>
  <c r="G928" i="7"/>
  <c r="E928" i="7"/>
  <c r="H927" i="7"/>
  <c r="G927" i="7"/>
  <c r="E927" i="7"/>
  <c r="H926" i="7"/>
  <c r="G926" i="7"/>
  <c r="E926" i="7"/>
  <c r="H925" i="7"/>
  <c r="G925" i="7"/>
  <c r="E925" i="7"/>
  <c r="H924" i="7"/>
  <c r="G924" i="7"/>
  <c r="E924" i="7"/>
  <c r="H923" i="7"/>
  <c r="G923" i="7"/>
  <c r="E923" i="7"/>
  <c r="H922" i="7"/>
  <c r="G922" i="7"/>
  <c r="E922" i="7"/>
  <c r="H921" i="7"/>
  <c r="G921" i="7"/>
  <c r="E921" i="7"/>
  <c r="H920" i="7"/>
  <c r="G920" i="7"/>
  <c r="E920" i="7"/>
  <c r="H919" i="7"/>
  <c r="G919" i="7"/>
  <c r="E919" i="7"/>
  <c r="H918" i="7"/>
  <c r="G918" i="7"/>
  <c r="E918" i="7"/>
  <c r="H917" i="7"/>
  <c r="G917" i="7"/>
  <c r="E917" i="7"/>
  <c r="H916" i="7"/>
  <c r="G916" i="7"/>
  <c r="E916" i="7"/>
  <c r="H915" i="7"/>
  <c r="G915" i="7"/>
  <c r="H914" i="7"/>
  <c r="G914" i="7"/>
  <c r="E914" i="7"/>
  <c r="H913" i="7"/>
  <c r="G913" i="7"/>
  <c r="E913" i="7"/>
  <c r="H912" i="7"/>
  <c r="G912" i="7"/>
  <c r="E912" i="7"/>
  <c r="H911" i="7"/>
  <c r="G911" i="7"/>
  <c r="E911" i="7"/>
  <c r="H910" i="7"/>
  <c r="G910" i="7"/>
  <c r="E910" i="7"/>
  <c r="H909" i="7"/>
  <c r="G909" i="7"/>
  <c r="E909" i="7"/>
  <c r="H908" i="7"/>
  <c r="G908" i="7"/>
  <c r="E908" i="7"/>
  <c r="H907" i="7"/>
  <c r="G907" i="7"/>
  <c r="E907" i="7"/>
  <c r="H906" i="7"/>
  <c r="G906" i="7"/>
  <c r="E906" i="7"/>
  <c r="H905" i="7"/>
  <c r="G905" i="7"/>
  <c r="E905" i="7"/>
  <c r="H904" i="7"/>
  <c r="G904" i="7"/>
  <c r="E904" i="7"/>
  <c r="H903" i="7"/>
  <c r="G903" i="7"/>
  <c r="E903" i="7"/>
  <c r="H902" i="7"/>
  <c r="G902" i="7"/>
  <c r="E902" i="7"/>
  <c r="H901" i="7"/>
  <c r="G901" i="7"/>
  <c r="E901" i="7"/>
  <c r="H900" i="7"/>
  <c r="G900" i="7"/>
  <c r="E900" i="7"/>
  <c r="H899" i="7"/>
  <c r="G899" i="7"/>
  <c r="E899" i="7"/>
  <c r="H898" i="7"/>
  <c r="G898" i="7"/>
  <c r="E898" i="7"/>
  <c r="H897" i="7"/>
  <c r="G897" i="7"/>
  <c r="E897" i="7"/>
  <c r="H896" i="7"/>
  <c r="G896" i="7"/>
  <c r="E896" i="7"/>
  <c r="H895" i="7"/>
  <c r="G895" i="7"/>
  <c r="E895" i="7"/>
  <c r="H894" i="7"/>
  <c r="G894" i="7"/>
  <c r="E894" i="7"/>
  <c r="H893" i="7"/>
  <c r="G893" i="7"/>
  <c r="E893" i="7"/>
  <c r="H892" i="7"/>
  <c r="G892" i="7"/>
  <c r="E892" i="7"/>
  <c r="H891" i="7"/>
  <c r="G891" i="7"/>
  <c r="E891" i="7"/>
  <c r="H890" i="7"/>
  <c r="G890" i="7"/>
  <c r="E890" i="7"/>
  <c r="H889" i="7"/>
  <c r="G889" i="7"/>
  <c r="E889" i="7"/>
  <c r="H888" i="7"/>
  <c r="G888" i="7"/>
  <c r="E888" i="7"/>
  <c r="H887" i="7"/>
  <c r="G887" i="7"/>
  <c r="E887" i="7"/>
  <c r="H886" i="7"/>
  <c r="G886" i="7"/>
  <c r="E886" i="7"/>
  <c r="H885" i="7"/>
  <c r="G885" i="7"/>
  <c r="E885" i="7"/>
  <c r="H884" i="7"/>
  <c r="G884" i="7"/>
  <c r="E884" i="7"/>
  <c r="H883" i="7"/>
  <c r="G883" i="7"/>
  <c r="E883" i="7"/>
  <c r="H882" i="7"/>
  <c r="G882" i="7"/>
  <c r="E882" i="7"/>
  <c r="H881" i="7"/>
  <c r="G881" i="7"/>
  <c r="E881" i="7"/>
  <c r="H880" i="7"/>
  <c r="G880" i="7"/>
  <c r="E880" i="7"/>
  <c r="H879" i="7"/>
  <c r="G879" i="7"/>
  <c r="E879" i="7"/>
  <c r="H878" i="7"/>
  <c r="G878" i="7"/>
  <c r="E878" i="7"/>
  <c r="H877" i="7"/>
  <c r="G877" i="7"/>
  <c r="E877" i="7"/>
  <c r="H876" i="7"/>
  <c r="G876" i="7"/>
  <c r="E876" i="7"/>
  <c r="H874" i="7"/>
  <c r="G874" i="7"/>
  <c r="E874" i="7"/>
  <c r="H873" i="7"/>
  <c r="G873" i="7"/>
  <c r="E873" i="7"/>
  <c r="H872" i="7"/>
  <c r="G872" i="7"/>
  <c r="E872" i="7"/>
  <c r="H871" i="7"/>
  <c r="G871" i="7"/>
  <c r="E871" i="7"/>
  <c r="H870" i="7"/>
  <c r="G870" i="7"/>
  <c r="E870" i="7"/>
  <c r="H869" i="7"/>
  <c r="G869" i="7"/>
  <c r="E869" i="7"/>
  <c r="H868" i="7"/>
  <c r="G868" i="7"/>
  <c r="E868" i="7"/>
  <c r="H867" i="7"/>
  <c r="G867" i="7"/>
  <c r="E867" i="7"/>
  <c r="H866" i="7"/>
  <c r="G866" i="7"/>
  <c r="E866" i="7"/>
  <c r="H865" i="7"/>
  <c r="G865" i="7"/>
  <c r="E865" i="7"/>
  <c r="H864" i="7"/>
  <c r="G864" i="7"/>
  <c r="E864" i="7"/>
  <c r="H863" i="7"/>
  <c r="G863" i="7"/>
  <c r="E863" i="7"/>
  <c r="H862" i="7"/>
  <c r="G862" i="7"/>
  <c r="E862" i="7"/>
  <c r="H861" i="7"/>
  <c r="G861" i="7"/>
  <c r="E861" i="7"/>
  <c r="H860" i="7"/>
  <c r="G860" i="7"/>
  <c r="E860" i="7"/>
  <c r="H859" i="7"/>
  <c r="G859" i="7"/>
  <c r="E859" i="7"/>
  <c r="H858" i="7"/>
  <c r="G858" i="7"/>
  <c r="E858" i="7"/>
  <c r="H857" i="7"/>
  <c r="G857" i="7"/>
  <c r="E857" i="7"/>
  <c r="H856" i="7"/>
  <c r="G856" i="7"/>
  <c r="E856" i="7"/>
  <c r="H855" i="7"/>
  <c r="G855" i="7"/>
  <c r="E855" i="7"/>
  <c r="H854" i="7"/>
  <c r="G854" i="7"/>
  <c r="E854" i="7"/>
  <c r="H853" i="7"/>
  <c r="G853" i="7"/>
  <c r="E853" i="7"/>
  <c r="H852" i="7"/>
  <c r="G852" i="7"/>
  <c r="E852" i="7"/>
  <c r="H851" i="7"/>
  <c r="G851" i="7"/>
  <c r="E851" i="7"/>
  <c r="H850" i="7"/>
  <c r="G850" i="7"/>
  <c r="E850" i="7"/>
  <c r="H849" i="7"/>
  <c r="G849" i="7"/>
  <c r="E849" i="7"/>
  <c r="H848" i="7"/>
  <c r="G848" i="7"/>
  <c r="E848" i="7"/>
  <c r="H847" i="7"/>
  <c r="G847" i="7"/>
  <c r="E847" i="7"/>
  <c r="H846" i="7"/>
  <c r="G846" i="7"/>
  <c r="E846" i="7"/>
  <c r="H845" i="7"/>
  <c r="G845" i="7"/>
  <c r="E845" i="7"/>
  <c r="H844" i="7"/>
  <c r="G844" i="7"/>
  <c r="E844" i="7"/>
  <c r="H843" i="7"/>
  <c r="G843" i="7"/>
  <c r="E843" i="7"/>
  <c r="H842" i="7"/>
  <c r="G842" i="7"/>
  <c r="E842" i="7"/>
  <c r="H841" i="7"/>
  <c r="G841" i="7"/>
  <c r="E841" i="7"/>
  <c r="H840" i="7"/>
  <c r="G840" i="7"/>
  <c r="E840" i="7"/>
  <c r="H839" i="7"/>
  <c r="G839" i="7"/>
  <c r="E839" i="7"/>
  <c r="H838" i="7"/>
  <c r="G838" i="7"/>
  <c r="E838" i="7"/>
  <c r="H837" i="7"/>
  <c r="G837" i="7"/>
  <c r="E837" i="7"/>
  <c r="H836" i="7"/>
  <c r="G836" i="7"/>
  <c r="E836" i="7"/>
  <c r="H835" i="7"/>
  <c r="G835" i="7"/>
  <c r="E835" i="7"/>
  <c r="H834" i="7"/>
  <c r="G834" i="7"/>
  <c r="E834" i="7"/>
  <c r="H833" i="7"/>
  <c r="G833" i="7"/>
  <c r="E833" i="7"/>
  <c r="H832" i="7"/>
  <c r="G832" i="7"/>
  <c r="E832" i="7"/>
  <c r="H831" i="7"/>
  <c r="G831" i="7"/>
  <c r="E831" i="7"/>
  <c r="H830" i="7"/>
  <c r="G830" i="7"/>
  <c r="E830" i="7"/>
  <c r="H829" i="7"/>
  <c r="G829" i="7"/>
  <c r="E829" i="7"/>
  <c r="H828" i="7"/>
  <c r="G828" i="7"/>
  <c r="E828" i="7"/>
  <c r="H827" i="7"/>
  <c r="G827" i="7"/>
  <c r="E827" i="7"/>
  <c r="H826" i="7"/>
  <c r="G826" i="7"/>
  <c r="E826" i="7"/>
  <c r="H825" i="7"/>
  <c r="G825" i="7"/>
  <c r="E825" i="7"/>
  <c r="H824" i="7"/>
  <c r="G824" i="7"/>
  <c r="E824" i="7"/>
  <c r="H823" i="7"/>
  <c r="G823" i="7"/>
  <c r="E823" i="7"/>
  <c r="H822" i="7"/>
  <c r="G822" i="7"/>
  <c r="E822" i="7"/>
  <c r="H821" i="7"/>
  <c r="G821" i="7"/>
  <c r="E821" i="7"/>
  <c r="H820" i="7"/>
  <c r="G820" i="7"/>
  <c r="E820" i="7"/>
  <c r="H819" i="7"/>
  <c r="G819" i="7"/>
  <c r="E819" i="7"/>
  <c r="H818" i="7"/>
  <c r="G818" i="7"/>
  <c r="E818" i="7"/>
  <c r="H817" i="7"/>
  <c r="G817" i="7"/>
  <c r="E817" i="7"/>
  <c r="H816" i="7"/>
  <c r="G816" i="7"/>
  <c r="E816" i="7"/>
  <c r="H815" i="7"/>
  <c r="G815" i="7"/>
  <c r="E815" i="7"/>
  <c r="H814" i="7"/>
  <c r="G814" i="7"/>
  <c r="E814" i="7"/>
  <c r="H813" i="7"/>
  <c r="G813" i="7"/>
  <c r="E813" i="7"/>
  <c r="H812" i="7"/>
  <c r="G812" i="7"/>
  <c r="E812" i="7"/>
  <c r="H811" i="7"/>
  <c r="G811" i="7"/>
  <c r="E811" i="7"/>
  <c r="H810" i="7"/>
  <c r="G810" i="7"/>
  <c r="E810" i="7"/>
  <c r="H809" i="7"/>
  <c r="G809" i="7"/>
  <c r="E809" i="7"/>
  <c r="H808" i="7"/>
  <c r="G808" i="7"/>
  <c r="E808" i="7"/>
  <c r="H807" i="7"/>
  <c r="G807" i="7"/>
  <c r="E807" i="7"/>
  <c r="H806" i="7"/>
  <c r="G806" i="7"/>
  <c r="E806" i="7"/>
  <c r="H805" i="7"/>
  <c r="G805" i="7"/>
  <c r="E805" i="7"/>
  <c r="H804" i="7"/>
  <c r="G804" i="7"/>
  <c r="E804" i="7"/>
  <c r="H803" i="7"/>
  <c r="G803" i="7"/>
  <c r="E803" i="7"/>
  <c r="H802" i="7"/>
  <c r="G802" i="7"/>
  <c r="E802" i="7"/>
  <c r="H801" i="7"/>
  <c r="G801" i="7"/>
  <c r="E801" i="7"/>
  <c r="H800" i="7"/>
  <c r="G800" i="7"/>
  <c r="E800" i="7"/>
  <c r="H799" i="7"/>
  <c r="G799" i="7"/>
  <c r="E799" i="7"/>
  <c r="H798" i="7"/>
  <c r="G798" i="7"/>
  <c r="E798" i="7"/>
  <c r="H797" i="7"/>
  <c r="G797" i="7"/>
  <c r="E797" i="7"/>
  <c r="H796" i="7"/>
  <c r="G796" i="7"/>
  <c r="E796" i="7"/>
  <c r="H795" i="7"/>
  <c r="G795" i="7"/>
  <c r="E795" i="7"/>
  <c r="H794" i="7"/>
  <c r="G794" i="7"/>
  <c r="E794" i="7"/>
  <c r="H793" i="7"/>
  <c r="G793" i="7"/>
  <c r="E793" i="7"/>
  <c r="H792" i="7"/>
  <c r="G792" i="7"/>
  <c r="E792" i="7"/>
  <c r="H791" i="7"/>
  <c r="G791" i="7"/>
  <c r="E791" i="7"/>
  <c r="H790" i="7"/>
  <c r="G790" i="7"/>
  <c r="E790" i="7"/>
  <c r="H789" i="7"/>
  <c r="G789" i="7"/>
  <c r="E789" i="7"/>
  <c r="H788" i="7"/>
  <c r="G788" i="7"/>
  <c r="E788" i="7"/>
  <c r="H787" i="7"/>
  <c r="G787" i="7"/>
  <c r="H786" i="7"/>
  <c r="G786" i="7"/>
  <c r="E786" i="7"/>
  <c r="H785" i="7"/>
  <c r="G785" i="7"/>
  <c r="E785" i="7"/>
  <c r="H784" i="7"/>
  <c r="G784" i="7"/>
  <c r="E784" i="7"/>
  <c r="H783" i="7"/>
  <c r="G783" i="7"/>
  <c r="E783" i="7"/>
  <c r="H782" i="7"/>
  <c r="G782" i="7"/>
  <c r="E782" i="7"/>
  <c r="H781" i="7"/>
  <c r="G781" i="7"/>
  <c r="E781" i="7"/>
  <c r="H780" i="7"/>
  <c r="G780" i="7"/>
  <c r="E780" i="7"/>
  <c r="H779" i="7"/>
  <c r="G779" i="7"/>
  <c r="E779" i="7"/>
  <c r="H778" i="7"/>
  <c r="G778" i="7"/>
  <c r="E778" i="7"/>
  <c r="H777" i="7"/>
  <c r="G777" i="7"/>
  <c r="E777" i="7"/>
  <c r="H776" i="7"/>
  <c r="G776" i="7"/>
  <c r="E776" i="7"/>
  <c r="H775" i="7"/>
  <c r="G775" i="7"/>
  <c r="E775" i="7"/>
  <c r="H774" i="7"/>
  <c r="G774" i="7"/>
  <c r="E774" i="7"/>
  <c r="H773" i="7"/>
  <c r="G773" i="7"/>
  <c r="E773" i="7"/>
  <c r="H772" i="7"/>
  <c r="G772" i="7"/>
  <c r="E772" i="7"/>
  <c r="H771" i="7"/>
  <c r="G771" i="7"/>
  <c r="E771" i="7"/>
  <c r="H770" i="7"/>
  <c r="G770" i="7"/>
  <c r="E770" i="7"/>
  <c r="H769" i="7"/>
  <c r="G769" i="7"/>
  <c r="E769" i="7"/>
  <c r="H768" i="7"/>
  <c r="G768" i="7"/>
  <c r="E768" i="7"/>
  <c r="H767" i="7"/>
  <c r="G767" i="7"/>
  <c r="E767" i="7"/>
  <c r="H766" i="7"/>
  <c r="G766" i="7"/>
  <c r="E766" i="7"/>
  <c r="H765" i="7"/>
  <c r="G765" i="7"/>
  <c r="E765" i="7"/>
  <c r="H764" i="7"/>
  <c r="G764" i="7"/>
  <c r="H763" i="7"/>
  <c r="G763" i="7"/>
  <c r="E763" i="7"/>
  <c r="H762" i="7"/>
  <c r="G762" i="7"/>
  <c r="E762" i="7"/>
  <c r="H761" i="7"/>
  <c r="G761" i="7"/>
  <c r="E761" i="7"/>
  <c r="H760" i="7"/>
  <c r="G760" i="7"/>
  <c r="E760" i="7"/>
  <c r="H759" i="7"/>
  <c r="G759" i="7"/>
  <c r="E759" i="7"/>
  <c r="H758" i="7"/>
  <c r="G758" i="7"/>
  <c r="E758" i="7"/>
  <c r="H757" i="7"/>
  <c r="G757" i="7"/>
  <c r="E757" i="7"/>
  <c r="H756" i="7"/>
  <c r="G756" i="7"/>
  <c r="E756" i="7"/>
  <c r="H755" i="7"/>
  <c r="G755" i="7"/>
  <c r="E755" i="7"/>
  <c r="H754" i="7"/>
  <c r="G754" i="7"/>
  <c r="E754" i="7"/>
  <c r="H753" i="7"/>
  <c r="G753" i="7"/>
  <c r="E753" i="7"/>
  <c r="H752" i="7"/>
  <c r="G752" i="7"/>
  <c r="E752" i="7"/>
  <c r="H751" i="7"/>
  <c r="G751" i="7"/>
  <c r="E751" i="7"/>
  <c r="H750" i="7"/>
  <c r="G750" i="7"/>
  <c r="E750" i="7"/>
  <c r="H749" i="7"/>
  <c r="G749" i="7"/>
  <c r="E749" i="7"/>
  <c r="H748" i="7"/>
  <c r="G748" i="7"/>
  <c r="E748" i="7"/>
  <c r="H747" i="7"/>
  <c r="G747" i="7"/>
  <c r="E747" i="7"/>
  <c r="H746" i="7"/>
  <c r="G746" i="7"/>
  <c r="E746" i="7"/>
  <c r="H745" i="7"/>
  <c r="G745" i="7"/>
  <c r="E745" i="7"/>
  <c r="H744" i="7"/>
  <c r="G744" i="7"/>
  <c r="E744" i="7"/>
  <c r="H743" i="7"/>
  <c r="G743" i="7"/>
  <c r="E743" i="7"/>
  <c r="H742" i="7"/>
  <c r="G742" i="7"/>
  <c r="E742" i="7"/>
  <c r="H741" i="7"/>
  <c r="G741" i="7"/>
  <c r="E741" i="7"/>
  <c r="H740" i="7"/>
  <c r="G740" i="7"/>
  <c r="E740" i="7"/>
  <c r="H739" i="7"/>
  <c r="G739" i="7"/>
  <c r="E739" i="7"/>
  <c r="H738" i="7"/>
  <c r="G738" i="7"/>
  <c r="E738" i="7"/>
  <c r="H737" i="7"/>
  <c r="G737" i="7"/>
  <c r="E737" i="7"/>
  <c r="H736" i="7"/>
  <c r="G736" i="7"/>
  <c r="E736" i="7"/>
  <c r="H735" i="7"/>
  <c r="G735" i="7"/>
  <c r="E735" i="7"/>
  <c r="H734" i="7"/>
  <c r="G734" i="7"/>
  <c r="E734" i="7"/>
  <c r="H733" i="7"/>
  <c r="G733" i="7"/>
  <c r="E733" i="7"/>
  <c r="H732" i="7"/>
  <c r="G732" i="7"/>
  <c r="E732" i="7"/>
  <c r="H731" i="7"/>
  <c r="G731" i="7"/>
  <c r="E731" i="7"/>
  <c r="H730" i="7"/>
  <c r="G730" i="7"/>
  <c r="E730" i="7"/>
  <c r="H729" i="7"/>
  <c r="G729" i="7"/>
  <c r="E729" i="7"/>
  <c r="H728" i="7"/>
  <c r="G728" i="7"/>
  <c r="E728" i="7"/>
  <c r="H727" i="7"/>
  <c r="G727" i="7"/>
  <c r="E727" i="7"/>
  <c r="H726" i="7"/>
  <c r="G726" i="7"/>
  <c r="E726" i="7"/>
  <c r="H725" i="7"/>
  <c r="G725" i="7"/>
  <c r="E725" i="7"/>
  <c r="H724" i="7"/>
  <c r="G724" i="7"/>
  <c r="E724" i="7"/>
  <c r="H723" i="7"/>
  <c r="G723" i="7"/>
  <c r="E723" i="7"/>
  <c r="H722" i="7"/>
  <c r="G722" i="7"/>
  <c r="E722" i="7"/>
  <c r="H721" i="7"/>
  <c r="G721" i="7"/>
  <c r="E721" i="7"/>
  <c r="H720" i="7"/>
  <c r="G720" i="7"/>
  <c r="E720" i="7"/>
  <c r="H719" i="7"/>
  <c r="G719" i="7"/>
  <c r="E719" i="7"/>
  <c r="H718" i="7"/>
  <c r="G718" i="7"/>
  <c r="E718" i="7"/>
  <c r="H717" i="7"/>
  <c r="G717" i="7"/>
  <c r="E717" i="7"/>
  <c r="H716" i="7"/>
  <c r="G716" i="7"/>
  <c r="E716" i="7"/>
  <c r="H715" i="7"/>
  <c r="G715" i="7"/>
  <c r="E715" i="7"/>
  <c r="H714" i="7"/>
  <c r="G714" i="7"/>
  <c r="E714" i="7"/>
  <c r="H713" i="7"/>
  <c r="G713" i="7"/>
  <c r="E713" i="7"/>
  <c r="H712" i="7"/>
  <c r="G712" i="7"/>
  <c r="E712" i="7"/>
  <c r="H711" i="7"/>
  <c r="G711" i="7"/>
  <c r="E711" i="7"/>
  <c r="H710" i="7"/>
  <c r="G710" i="7"/>
  <c r="E710" i="7"/>
  <c r="H709" i="7"/>
  <c r="G709" i="7"/>
  <c r="E709" i="7"/>
  <c r="H708" i="7"/>
  <c r="G708" i="7"/>
  <c r="E708" i="7"/>
  <c r="H707" i="7"/>
  <c r="G707" i="7"/>
  <c r="E707" i="7"/>
  <c r="H706" i="7"/>
  <c r="G706" i="7"/>
  <c r="E706" i="7"/>
  <c r="H705" i="7"/>
  <c r="G705" i="7"/>
  <c r="E705" i="7"/>
  <c r="H704" i="7"/>
  <c r="G704" i="7"/>
  <c r="E704" i="7"/>
  <c r="H703" i="7"/>
  <c r="G703" i="7"/>
  <c r="E703" i="7"/>
  <c r="H702" i="7"/>
  <c r="G702" i="7"/>
  <c r="E702" i="7"/>
  <c r="H701" i="7"/>
  <c r="G701" i="7"/>
  <c r="E701" i="7"/>
  <c r="H700" i="7"/>
  <c r="G700" i="7"/>
  <c r="E700" i="7"/>
  <c r="H699" i="7"/>
  <c r="G699" i="7"/>
  <c r="E699" i="7"/>
  <c r="H698" i="7"/>
  <c r="G698" i="7"/>
  <c r="E698" i="7"/>
  <c r="H697" i="7"/>
  <c r="G697" i="7"/>
  <c r="E697" i="7"/>
  <c r="H696" i="7"/>
  <c r="G696" i="7"/>
  <c r="E696" i="7"/>
  <c r="H695" i="7"/>
  <c r="G695" i="7"/>
  <c r="E695" i="7"/>
  <c r="H694" i="7"/>
  <c r="G694" i="7"/>
  <c r="E694" i="7"/>
  <c r="H693" i="7"/>
  <c r="G693" i="7"/>
  <c r="E693" i="7"/>
  <c r="H692" i="7"/>
  <c r="G692" i="7"/>
  <c r="E692" i="7"/>
  <c r="H691" i="7"/>
  <c r="G691" i="7"/>
  <c r="E691" i="7"/>
  <c r="H690" i="7"/>
  <c r="G690" i="7"/>
  <c r="E690" i="7"/>
  <c r="H689" i="7"/>
  <c r="G689" i="7"/>
  <c r="E689" i="7"/>
  <c r="H688" i="7"/>
  <c r="G688" i="7"/>
  <c r="E688" i="7"/>
  <c r="H687" i="7"/>
  <c r="G687" i="7"/>
  <c r="E687" i="7"/>
  <c r="H686" i="7"/>
  <c r="G686" i="7"/>
  <c r="E686" i="7"/>
  <c r="H685" i="7"/>
  <c r="G685" i="7"/>
  <c r="E685" i="7"/>
  <c r="H684" i="7"/>
  <c r="G684" i="7"/>
  <c r="E684" i="7"/>
  <c r="H683" i="7"/>
  <c r="G683" i="7"/>
  <c r="E683" i="7"/>
  <c r="H682" i="7"/>
  <c r="G682" i="7"/>
  <c r="E682" i="7"/>
  <c r="H681" i="7"/>
  <c r="G681" i="7"/>
  <c r="E681" i="7"/>
  <c r="H680" i="7"/>
  <c r="G680" i="7"/>
  <c r="E680" i="7"/>
  <c r="H679" i="7"/>
  <c r="G679" i="7"/>
  <c r="E679" i="7"/>
  <c r="H678" i="7"/>
  <c r="G678" i="7"/>
  <c r="E678" i="7"/>
  <c r="H677" i="7"/>
  <c r="G677" i="7"/>
  <c r="E677" i="7"/>
  <c r="H676" i="7"/>
  <c r="G676" i="7"/>
  <c r="E676" i="7"/>
  <c r="H675" i="7"/>
  <c r="G675" i="7"/>
  <c r="E675" i="7"/>
  <c r="H674" i="7"/>
  <c r="G674" i="7"/>
  <c r="E674" i="7"/>
  <c r="H673" i="7"/>
  <c r="G673" i="7"/>
  <c r="E673" i="7"/>
  <c r="H672" i="7"/>
  <c r="G672" i="7"/>
  <c r="E672" i="7"/>
  <c r="H671" i="7"/>
  <c r="G671" i="7"/>
  <c r="E671" i="7"/>
  <c r="H670" i="7"/>
  <c r="G670" i="7"/>
  <c r="E670" i="7"/>
  <c r="H669" i="7"/>
  <c r="G669" i="7"/>
  <c r="E669" i="7"/>
  <c r="H667" i="7"/>
  <c r="G667" i="7"/>
  <c r="E667" i="7"/>
  <c r="H666" i="7"/>
  <c r="G666" i="7"/>
  <c r="E666" i="7"/>
  <c r="H665" i="7"/>
  <c r="G665" i="7"/>
  <c r="E665" i="7"/>
  <c r="H664" i="7"/>
  <c r="G664" i="7"/>
  <c r="E664" i="7"/>
  <c r="H663" i="7"/>
  <c r="G663" i="7"/>
  <c r="E663" i="7"/>
  <c r="H662" i="7"/>
  <c r="G662" i="7"/>
  <c r="E662" i="7"/>
  <c r="H661" i="7"/>
  <c r="G661" i="7"/>
  <c r="E661" i="7"/>
  <c r="H660" i="7"/>
  <c r="G660" i="7"/>
  <c r="E660" i="7"/>
  <c r="H659" i="7"/>
  <c r="G659" i="7"/>
  <c r="E659" i="7"/>
  <c r="H658" i="7"/>
  <c r="G658" i="7"/>
  <c r="E658" i="7"/>
  <c r="H657" i="7"/>
  <c r="G657" i="7"/>
  <c r="E657" i="7"/>
  <c r="H656" i="7"/>
  <c r="G656" i="7"/>
  <c r="E656" i="7"/>
  <c r="H655" i="7"/>
  <c r="G655" i="7"/>
  <c r="E655" i="7"/>
  <c r="H654" i="7"/>
  <c r="G654" i="7"/>
  <c r="E654" i="7"/>
  <c r="H653" i="7"/>
  <c r="G653" i="7"/>
  <c r="E653" i="7"/>
  <c r="H652" i="7"/>
  <c r="G652" i="7"/>
  <c r="E652" i="7"/>
  <c r="H651" i="7"/>
  <c r="G651" i="7"/>
  <c r="E651" i="7"/>
  <c r="H650" i="7"/>
  <c r="G650" i="7"/>
  <c r="E650" i="7"/>
  <c r="H649" i="7"/>
  <c r="G649" i="7"/>
  <c r="E649" i="7"/>
  <c r="H648" i="7"/>
  <c r="G648" i="7"/>
  <c r="E648" i="7"/>
  <c r="H647" i="7"/>
  <c r="G647" i="7"/>
  <c r="E647" i="7"/>
  <c r="H646" i="7"/>
  <c r="G646" i="7"/>
  <c r="E646" i="7"/>
  <c r="H645" i="7"/>
  <c r="G645" i="7"/>
  <c r="E645" i="7"/>
  <c r="H644" i="7"/>
  <c r="G644" i="7"/>
  <c r="E644" i="7"/>
  <c r="H643" i="7"/>
  <c r="G643" i="7"/>
  <c r="E643" i="7"/>
  <c r="H642" i="7"/>
  <c r="G642" i="7"/>
  <c r="E642" i="7"/>
  <c r="H641" i="7"/>
  <c r="G641" i="7"/>
  <c r="E641" i="7"/>
  <c r="H640" i="7"/>
  <c r="G640" i="7"/>
  <c r="E640" i="7"/>
  <c r="H639" i="7"/>
  <c r="G639" i="7"/>
  <c r="E639" i="7"/>
  <c r="H638" i="7"/>
  <c r="G638" i="7"/>
  <c r="E638" i="7"/>
  <c r="H637" i="7"/>
  <c r="G637" i="7"/>
  <c r="E637" i="7"/>
  <c r="H636" i="7"/>
  <c r="G636" i="7"/>
  <c r="E636" i="7"/>
  <c r="H635" i="7"/>
  <c r="G635" i="7"/>
  <c r="E635" i="7"/>
  <c r="H634" i="7"/>
  <c r="G634" i="7"/>
  <c r="E634" i="7"/>
  <c r="H633" i="7"/>
  <c r="G633" i="7"/>
  <c r="E633" i="7"/>
  <c r="H632" i="7"/>
  <c r="G632" i="7"/>
  <c r="E632" i="7"/>
  <c r="H631" i="7"/>
  <c r="G631" i="7"/>
  <c r="E631" i="7"/>
  <c r="H630" i="7"/>
  <c r="G630" i="7"/>
  <c r="E630" i="7"/>
  <c r="H629" i="7"/>
  <c r="G629" i="7"/>
  <c r="E629" i="7"/>
  <c r="H628" i="7"/>
  <c r="G628" i="7"/>
  <c r="E628" i="7"/>
  <c r="H627" i="7"/>
  <c r="G627" i="7"/>
  <c r="E627" i="7"/>
  <c r="H626" i="7"/>
  <c r="G626" i="7"/>
  <c r="E626" i="7"/>
  <c r="H625" i="7"/>
  <c r="G625" i="7"/>
  <c r="E625" i="7"/>
  <c r="H624" i="7"/>
  <c r="G624" i="7"/>
  <c r="E624" i="7"/>
  <c r="H623" i="7"/>
  <c r="G623" i="7"/>
  <c r="E623" i="7"/>
  <c r="H622" i="7"/>
  <c r="G622" i="7"/>
  <c r="E622" i="7"/>
  <c r="H621" i="7"/>
  <c r="G621" i="7"/>
  <c r="E621" i="7"/>
  <c r="H620" i="7"/>
  <c r="G620" i="7"/>
  <c r="E620" i="7"/>
  <c r="H619" i="7"/>
  <c r="G619" i="7"/>
  <c r="E619" i="7"/>
  <c r="H618" i="7"/>
  <c r="G618" i="7"/>
  <c r="E618" i="7"/>
  <c r="H617" i="7"/>
  <c r="G617" i="7"/>
  <c r="E617" i="7"/>
  <c r="H616" i="7"/>
  <c r="G616" i="7"/>
  <c r="E616" i="7"/>
  <c r="H615" i="7"/>
  <c r="G615" i="7"/>
  <c r="E615" i="7"/>
  <c r="H614" i="7"/>
  <c r="G614" i="7"/>
  <c r="E614" i="7"/>
  <c r="H613" i="7"/>
  <c r="G613" i="7"/>
  <c r="E613" i="7"/>
  <c r="H612" i="7"/>
  <c r="G612" i="7"/>
  <c r="E612" i="7"/>
  <c r="H611" i="7"/>
  <c r="G611" i="7"/>
  <c r="E611" i="7"/>
  <c r="H610" i="7"/>
  <c r="G610" i="7"/>
  <c r="E610" i="7"/>
  <c r="H609" i="7"/>
  <c r="G609" i="7"/>
  <c r="E609" i="7"/>
  <c r="H608" i="7"/>
  <c r="G608" i="7"/>
  <c r="E608" i="7"/>
  <c r="H607" i="7"/>
  <c r="G607" i="7"/>
  <c r="E607" i="7"/>
  <c r="H606" i="7"/>
  <c r="G606" i="7"/>
  <c r="E606" i="7"/>
  <c r="H605" i="7"/>
  <c r="G605" i="7"/>
  <c r="E605" i="7"/>
  <c r="H604" i="7"/>
  <c r="G604" i="7"/>
  <c r="E604" i="7"/>
  <c r="H603" i="7"/>
  <c r="G603" i="7"/>
  <c r="E603" i="7"/>
  <c r="H602" i="7"/>
  <c r="G602" i="7"/>
  <c r="E602" i="7"/>
  <c r="H601" i="7"/>
  <c r="G601" i="7"/>
  <c r="E601" i="7"/>
  <c r="H600" i="7"/>
  <c r="G600" i="7"/>
  <c r="E600" i="7"/>
  <c r="H599" i="7"/>
  <c r="G599" i="7"/>
  <c r="E599" i="7"/>
  <c r="H598" i="7"/>
  <c r="G598" i="7"/>
  <c r="E598" i="7"/>
  <c r="H597" i="7"/>
  <c r="G597" i="7"/>
  <c r="E597" i="7"/>
  <c r="H596" i="7"/>
  <c r="G596" i="7"/>
  <c r="E596" i="7"/>
  <c r="H595" i="7"/>
  <c r="G595" i="7"/>
  <c r="E595" i="7"/>
  <c r="H594" i="7"/>
  <c r="G594" i="7"/>
  <c r="E594" i="7"/>
  <c r="H593" i="7"/>
  <c r="G593" i="7"/>
  <c r="E593" i="7"/>
  <c r="H592" i="7"/>
  <c r="G592" i="7"/>
  <c r="E592" i="7"/>
  <c r="H591" i="7"/>
  <c r="G591" i="7"/>
  <c r="E591" i="7"/>
  <c r="H590" i="7"/>
  <c r="G590" i="7"/>
  <c r="E590" i="7"/>
  <c r="H589" i="7"/>
  <c r="G589" i="7"/>
  <c r="E589" i="7"/>
  <c r="H588" i="7"/>
  <c r="G588" i="7"/>
  <c r="E588" i="7"/>
  <c r="H587" i="7"/>
  <c r="G587" i="7"/>
  <c r="E587" i="7"/>
  <c r="H586" i="7"/>
  <c r="G586" i="7"/>
  <c r="E586" i="7"/>
  <c r="H585" i="7"/>
  <c r="G585" i="7"/>
  <c r="E585" i="7"/>
  <c r="H584" i="7"/>
  <c r="G584" i="7"/>
  <c r="E584" i="7"/>
  <c r="H583" i="7"/>
  <c r="G583" i="7"/>
  <c r="E583" i="7"/>
  <c r="H582" i="7"/>
  <c r="G582" i="7"/>
  <c r="E582" i="7"/>
  <c r="H581" i="7"/>
  <c r="G581" i="7"/>
  <c r="E581" i="7"/>
  <c r="H580" i="7"/>
  <c r="G580" i="7"/>
  <c r="E580" i="7"/>
  <c r="H579" i="7"/>
  <c r="G579" i="7"/>
  <c r="E579" i="7"/>
  <c r="H578" i="7"/>
  <c r="G578" i="7"/>
  <c r="E578" i="7"/>
  <c r="H577" i="7"/>
  <c r="G577" i="7"/>
  <c r="E577" i="7"/>
  <c r="H576" i="7"/>
  <c r="G576" i="7"/>
  <c r="E576" i="7"/>
  <c r="H575" i="7"/>
  <c r="G575" i="7"/>
  <c r="E575" i="7"/>
  <c r="H574" i="7"/>
  <c r="G574" i="7"/>
  <c r="E574" i="7"/>
  <c r="H573" i="7"/>
  <c r="G573" i="7"/>
  <c r="E573" i="7"/>
  <c r="H572" i="7"/>
  <c r="G572" i="7"/>
  <c r="E572" i="7"/>
  <c r="H571" i="7"/>
  <c r="G571" i="7"/>
  <c r="E571" i="7"/>
  <c r="H570" i="7"/>
  <c r="G570" i="7"/>
  <c r="E570" i="7"/>
  <c r="H569" i="7"/>
  <c r="G569" i="7"/>
  <c r="E569" i="7"/>
  <c r="H568" i="7"/>
  <c r="G568" i="7"/>
  <c r="E568" i="7"/>
  <c r="H567" i="7"/>
  <c r="G567" i="7"/>
  <c r="E567" i="7"/>
  <c r="H566" i="7"/>
  <c r="G566" i="7"/>
  <c r="E566" i="7"/>
  <c r="H565" i="7"/>
  <c r="G565" i="7"/>
  <c r="E565" i="7"/>
  <c r="H564" i="7"/>
  <c r="G564" i="7"/>
  <c r="E564" i="7"/>
  <c r="H563" i="7"/>
  <c r="G563" i="7"/>
  <c r="E563" i="7"/>
  <c r="H562" i="7"/>
  <c r="G562" i="7"/>
  <c r="E562" i="7"/>
  <c r="H561" i="7"/>
  <c r="G561" i="7"/>
  <c r="E561" i="7"/>
  <c r="H560" i="7"/>
  <c r="G560" i="7"/>
  <c r="E560" i="7"/>
  <c r="H559" i="7"/>
  <c r="G559" i="7"/>
  <c r="E559" i="7"/>
  <c r="H558" i="7"/>
  <c r="G558" i="7"/>
  <c r="E558" i="7"/>
  <c r="H557" i="7"/>
  <c r="G557" i="7"/>
  <c r="E557" i="7"/>
  <c r="H556" i="7"/>
  <c r="G556" i="7"/>
  <c r="E556" i="7"/>
  <c r="H555" i="7"/>
  <c r="G555" i="7"/>
  <c r="E555" i="7"/>
  <c r="H554" i="7"/>
  <c r="G554" i="7"/>
  <c r="E554" i="7"/>
  <c r="H553" i="7"/>
  <c r="G553" i="7"/>
  <c r="E553" i="7"/>
  <c r="H552" i="7"/>
  <c r="G552" i="7"/>
  <c r="E552" i="7"/>
  <c r="H551" i="7"/>
  <c r="G551" i="7"/>
  <c r="E551" i="7"/>
  <c r="H550" i="7"/>
  <c r="G550" i="7"/>
  <c r="E550" i="7"/>
  <c r="H549" i="7"/>
  <c r="G549" i="7"/>
  <c r="E549" i="7"/>
  <c r="H548" i="7"/>
  <c r="G548" i="7"/>
  <c r="E548" i="7"/>
  <c r="H547" i="7"/>
  <c r="G547" i="7"/>
  <c r="E547" i="7"/>
  <c r="H546" i="7"/>
  <c r="G546" i="7"/>
  <c r="E546" i="7"/>
  <c r="H545" i="7"/>
  <c r="G545" i="7"/>
  <c r="E545" i="7"/>
  <c r="H544" i="7"/>
  <c r="G544" i="7"/>
  <c r="E544" i="7"/>
  <c r="H543" i="7"/>
  <c r="G543" i="7"/>
  <c r="E543" i="7"/>
  <c r="H542" i="7"/>
  <c r="G542" i="7"/>
  <c r="E542" i="7"/>
  <c r="H541" i="7"/>
  <c r="G541" i="7"/>
  <c r="E541" i="7"/>
  <c r="H540" i="7"/>
  <c r="G540" i="7"/>
  <c r="E540" i="7"/>
  <c r="H539" i="7"/>
  <c r="G539" i="7"/>
  <c r="E539" i="7"/>
  <c r="H538" i="7"/>
  <c r="G538" i="7"/>
  <c r="E538" i="7"/>
  <c r="H537" i="7"/>
  <c r="G537" i="7"/>
  <c r="E537" i="7"/>
  <c r="H536" i="7"/>
  <c r="G536" i="7"/>
  <c r="E536" i="7"/>
  <c r="H535" i="7"/>
  <c r="G535" i="7"/>
  <c r="E535" i="7"/>
  <c r="H534" i="7"/>
  <c r="G534" i="7"/>
  <c r="E534" i="7"/>
  <c r="H533" i="7"/>
  <c r="G533" i="7"/>
  <c r="E533" i="7"/>
  <c r="H532" i="7"/>
  <c r="G532" i="7"/>
  <c r="E532" i="7"/>
  <c r="H531" i="7"/>
  <c r="G531" i="7"/>
  <c r="E531" i="7"/>
  <c r="H530" i="7"/>
  <c r="G530" i="7"/>
  <c r="E530" i="7"/>
  <c r="H529" i="7"/>
  <c r="G529" i="7"/>
  <c r="E529" i="7"/>
  <c r="H528" i="7"/>
  <c r="G528" i="7"/>
  <c r="E528" i="7"/>
  <c r="H527" i="7"/>
  <c r="G527" i="7"/>
  <c r="E527" i="7"/>
  <c r="H526" i="7"/>
  <c r="G526" i="7"/>
  <c r="E526" i="7"/>
  <c r="H525" i="7"/>
  <c r="G525" i="7"/>
  <c r="E525" i="7"/>
  <c r="H524" i="7"/>
  <c r="G524" i="7"/>
  <c r="E524" i="7"/>
  <c r="H523" i="7"/>
  <c r="G523" i="7"/>
  <c r="E523" i="7"/>
  <c r="H522" i="7"/>
  <c r="G522" i="7"/>
  <c r="E522" i="7"/>
  <c r="H521" i="7"/>
  <c r="G521" i="7"/>
  <c r="E521" i="7"/>
  <c r="H520" i="7"/>
  <c r="G520" i="7"/>
  <c r="E520" i="7"/>
  <c r="H519" i="7"/>
  <c r="G519" i="7"/>
  <c r="E519" i="7"/>
  <c r="H518" i="7"/>
  <c r="G518" i="7"/>
  <c r="E518" i="7"/>
  <c r="H517" i="7"/>
  <c r="G517" i="7"/>
  <c r="E517" i="7"/>
  <c r="H516" i="7"/>
  <c r="G516" i="7"/>
  <c r="E516" i="7"/>
  <c r="H515" i="7"/>
  <c r="G515" i="7"/>
  <c r="E515" i="7"/>
  <c r="H514" i="7"/>
  <c r="G514" i="7"/>
  <c r="E514" i="7"/>
  <c r="H513" i="7"/>
  <c r="G513" i="7"/>
  <c r="E513" i="7"/>
  <c r="H512" i="7"/>
  <c r="G512" i="7"/>
  <c r="E512" i="7"/>
  <c r="H511" i="7"/>
  <c r="G511" i="7"/>
  <c r="E511" i="7"/>
  <c r="H510" i="7"/>
  <c r="G510" i="7"/>
  <c r="E510" i="7"/>
  <c r="H509" i="7"/>
  <c r="G509" i="7"/>
  <c r="E509" i="7"/>
  <c r="H508" i="7"/>
  <c r="G508" i="7"/>
  <c r="E508" i="7"/>
  <c r="H507" i="7"/>
  <c r="G507" i="7"/>
  <c r="E507" i="7"/>
  <c r="H506" i="7"/>
  <c r="G506" i="7"/>
  <c r="E506" i="7"/>
  <c r="H505" i="7"/>
  <c r="G505" i="7"/>
  <c r="E505" i="7"/>
  <c r="H504" i="7"/>
  <c r="G504" i="7"/>
  <c r="E504" i="7"/>
  <c r="H503" i="7"/>
  <c r="G503" i="7"/>
  <c r="E503" i="7"/>
  <c r="H502" i="7"/>
  <c r="G502" i="7"/>
  <c r="E502" i="7"/>
  <c r="H501" i="7"/>
  <c r="G501" i="7"/>
  <c r="E501" i="7"/>
  <c r="H500" i="7"/>
  <c r="G500" i="7"/>
  <c r="E500" i="7"/>
  <c r="H499" i="7"/>
  <c r="G499" i="7"/>
  <c r="E499" i="7"/>
  <c r="H498" i="7"/>
  <c r="G498" i="7"/>
  <c r="E498" i="7"/>
  <c r="H497" i="7"/>
  <c r="G497" i="7"/>
  <c r="E497" i="7"/>
  <c r="H496" i="7"/>
  <c r="G496" i="7"/>
  <c r="E496" i="7"/>
  <c r="H495" i="7"/>
  <c r="G495" i="7"/>
  <c r="E495" i="7"/>
  <c r="H494" i="7"/>
  <c r="G494" i="7"/>
  <c r="E494" i="7"/>
  <c r="H493" i="7"/>
  <c r="G493" i="7"/>
  <c r="E493" i="7"/>
  <c r="H492" i="7"/>
  <c r="G492" i="7"/>
  <c r="E492" i="7"/>
  <c r="H491" i="7"/>
  <c r="G491" i="7"/>
  <c r="E491" i="7"/>
  <c r="H490" i="7"/>
  <c r="G490" i="7"/>
  <c r="E490" i="7"/>
  <c r="H489" i="7"/>
  <c r="G489" i="7"/>
  <c r="E489" i="7"/>
  <c r="H488" i="7"/>
  <c r="G488" i="7"/>
  <c r="E488" i="7"/>
  <c r="H487" i="7"/>
  <c r="G487" i="7"/>
  <c r="E487" i="7"/>
  <c r="H486" i="7"/>
  <c r="G486" i="7"/>
  <c r="E486" i="7"/>
  <c r="H485" i="7"/>
  <c r="G485" i="7"/>
  <c r="E485" i="7"/>
  <c r="G484" i="7"/>
  <c r="H483" i="7"/>
  <c r="G483" i="7"/>
  <c r="E483" i="7"/>
  <c r="H482" i="7"/>
  <c r="G482" i="7"/>
  <c r="E482" i="7"/>
  <c r="H481" i="7"/>
  <c r="G481" i="7"/>
  <c r="E481" i="7"/>
  <c r="H480" i="7"/>
  <c r="G480" i="7"/>
  <c r="E480" i="7"/>
  <c r="H479" i="7"/>
  <c r="G479" i="7"/>
  <c r="E479" i="7"/>
  <c r="H478" i="7"/>
  <c r="G478" i="7"/>
  <c r="E478" i="7"/>
  <c r="H477" i="7"/>
  <c r="G477" i="7"/>
  <c r="E477" i="7"/>
  <c r="H476" i="7"/>
  <c r="G476" i="7"/>
  <c r="E476" i="7"/>
  <c r="H475" i="7"/>
  <c r="G475" i="7"/>
  <c r="E475" i="7"/>
  <c r="H474" i="7"/>
  <c r="G474" i="7"/>
  <c r="E474" i="7"/>
  <c r="H473" i="7"/>
  <c r="G473" i="7"/>
  <c r="E473" i="7"/>
  <c r="H472" i="7"/>
  <c r="G472" i="7"/>
  <c r="E472" i="7"/>
  <c r="H471" i="7"/>
  <c r="G471" i="7"/>
  <c r="E471" i="7"/>
  <c r="H470" i="7"/>
  <c r="G470" i="7"/>
  <c r="E470" i="7"/>
  <c r="H469" i="7"/>
  <c r="G469" i="7"/>
  <c r="E469" i="7"/>
  <c r="H468" i="7"/>
  <c r="G468" i="7"/>
  <c r="E468" i="7"/>
  <c r="H467" i="7"/>
  <c r="G467" i="7"/>
  <c r="E467" i="7"/>
  <c r="H466" i="7"/>
  <c r="G466" i="7"/>
  <c r="E466" i="7"/>
  <c r="H465" i="7"/>
  <c r="G465" i="7"/>
  <c r="E465" i="7"/>
  <c r="H464" i="7"/>
  <c r="G464" i="7"/>
  <c r="E464" i="7"/>
  <c r="H463" i="7"/>
  <c r="G463" i="7"/>
  <c r="E463" i="7"/>
  <c r="H462" i="7"/>
  <c r="G462" i="7"/>
  <c r="E462" i="7"/>
  <c r="H461" i="7"/>
  <c r="G461" i="7"/>
  <c r="E461" i="7"/>
  <c r="H460" i="7"/>
  <c r="G460" i="7"/>
  <c r="E460" i="7"/>
  <c r="H459" i="7"/>
  <c r="G459" i="7"/>
  <c r="E459" i="7"/>
  <c r="H458" i="7"/>
  <c r="G458" i="7"/>
  <c r="E458" i="7"/>
  <c r="H457" i="7"/>
  <c r="G457" i="7"/>
  <c r="E457" i="7"/>
  <c r="H456" i="7"/>
  <c r="G456" i="7"/>
  <c r="E456" i="7"/>
  <c r="H454" i="7"/>
  <c r="G454" i="7"/>
  <c r="E454" i="7"/>
  <c r="H453" i="7"/>
  <c r="G453" i="7"/>
  <c r="E453" i="7"/>
  <c r="H452" i="7"/>
  <c r="G452" i="7"/>
  <c r="E452" i="7"/>
  <c r="H451" i="7"/>
  <c r="G451" i="7"/>
  <c r="E451" i="7"/>
  <c r="H450" i="7"/>
  <c r="G450" i="7"/>
  <c r="E450" i="7"/>
  <c r="H449" i="7"/>
  <c r="G449" i="7"/>
  <c r="E449" i="7"/>
  <c r="H448" i="7"/>
  <c r="G448" i="7"/>
  <c r="E448" i="7"/>
  <c r="H447" i="7"/>
  <c r="G447" i="7"/>
  <c r="E447" i="7"/>
  <c r="H446" i="7"/>
  <c r="G446" i="7"/>
  <c r="E446" i="7"/>
  <c r="H445" i="7"/>
  <c r="G445" i="7"/>
  <c r="E445" i="7"/>
  <c r="H444" i="7"/>
  <c r="G444" i="7"/>
  <c r="E444" i="7"/>
  <c r="H443" i="7"/>
  <c r="G443" i="7"/>
  <c r="E443" i="7"/>
  <c r="H442" i="7"/>
  <c r="G442" i="7"/>
  <c r="E442" i="7"/>
  <c r="H441" i="7"/>
  <c r="G441" i="7"/>
  <c r="E441" i="7"/>
  <c r="H440" i="7"/>
  <c r="G440" i="7"/>
  <c r="E440" i="7"/>
  <c r="H439" i="7"/>
  <c r="G439" i="7"/>
  <c r="E439" i="7"/>
  <c r="H438" i="7"/>
  <c r="G438" i="7"/>
  <c r="E438" i="7"/>
  <c r="H437" i="7"/>
  <c r="G437" i="7"/>
  <c r="E437" i="7"/>
  <c r="H436" i="7"/>
  <c r="G436" i="7"/>
  <c r="E436" i="7"/>
  <c r="H435" i="7"/>
  <c r="G435" i="7"/>
  <c r="E435" i="7"/>
  <c r="H434" i="7"/>
  <c r="G434" i="7"/>
  <c r="E434" i="7"/>
  <c r="H433" i="7"/>
  <c r="G433" i="7"/>
  <c r="E433" i="7"/>
  <c r="H432" i="7"/>
  <c r="G432" i="7"/>
  <c r="E432" i="7"/>
  <c r="H431" i="7"/>
  <c r="G431" i="7"/>
  <c r="E431" i="7"/>
  <c r="H430" i="7"/>
  <c r="G430" i="7"/>
  <c r="E430" i="7"/>
  <c r="H429" i="7"/>
  <c r="G429" i="7"/>
  <c r="E429" i="7"/>
  <c r="H428" i="7"/>
  <c r="G428" i="7"/>
  <c r="E428" i="7"/>
  <c r="H427" i="7"/>
  <c r="G427" i="7"/>
  <c r="E427" i="7"/>
  <c r="H426" i="7"/>
  <c r="G426" i="7"/>
  <c r="E426" i="7"/>
  <c r="H425" i="7"/>
  <c r="G425" i="7"/>
  <c r="E425" i="7"/>
  <c r="H424" i="7"/>
  <c r="G424" i="7"/>
  <c r="E424" i="7"/>
  <c r="H423" i="7"/>
  <c r="G423" i="7"/>
  <c r="E423" i="7"/>
  <c r="H422" i="7"/>
  <c r="G422" i="7"/>
  <c r="E422" i="7"/>
  <c r="H421" i="7"/>
  <c r="G421" i="7"/>
  <c r="E421" i="7"/>
  <c r="H420" i="7"/>
  <c r="G420" i="7"/>
  <c r="E420" i="7"/>
  <c r="H419" i="7"/>
  <c r="G419" i="7"/>
  <c r="E419" i="7"/>
  <c r="H418" i="7"/>
  <c r="G418" i="7"/>
  <c r="E418" i="7"/>
  <c r="H417" i="7"/>
  <c r="G417" i="7"/>
  <c r="H416" i="7"/>
  <c r="G416" i="7"/>
  <c r="E416" i="7"/>
  <c r="H415" i="7"/>
  <c r="G415" i="7"/>
  <c r="E415" i="7"/>
  <c r="H414" i="7"/>
  <c r="G414" i="7"/>
  <c r="E414" i="7"/>
  <c r="H413" i="7"/>
  <c r="G413" i="7"/>
  <c r="E413" i="7"/>
  <c r="H412" i="7"/>
  <c r="G412" i="7"/>
  <c r="E412" i="7"/>
  <c r="H411" i="7"/>
  <c r="G411" i="7"/>
  <c r="E411" i="7"/>
  <c r="H410" i="7"/>
  <c r="G410" i="7"/>
  <c r="E410" i="7"/>
  <c r="H409" i="7"/>
  <c r="G409" i="7"/>
  <c r="E409" i="7"/>
  <c r="H408" i="7"/>
  <c r="G408" i="7"/>
  <c r="E408" i="7"/>
  <c r="H407" i="7"/>
  <c r="G407" i="7"/>
  <c r="E407" i="7"/>
  <c r="H406" i="7"/>
  <c r="G406" i="7"/>
  <c r="E406" i="7"/>
  <c r="H405" i="7"/>
  <c r="G405" i="7"/>
  <c r="E405" i="7"/>
  <c r="H404" i="7"/>
  <c r="G404" i="7"/>
  <c r="E404" i="7"/>
  <c r="H403" i="7"/>
  <c r="G403" i="7"/>
  <c r="E403" i="7"/>
  <c r="H401" i="7"/>
  <c r="G401" i="7"/>
  <c r="E401" i="7"/>
  <c r="H400" i="7"/>
  <c r="G400" i="7"/>
  <c r="E400" i="7"/>
  <c r="H399" i="7"/>
  <c r="G399" i="7"/>
  <c r="E399" i="7"/>
  <c r="H398" i="7"/>
  <c r="G398" i="7"/>
  <c r="E398" i="7"/>
  <c r="H397" i="7"/>
  <c r="G397" i="7"/>
  <c r="E397" i="7"/>
  <c r="H396" i="7"/>
  <c r="G396" i="7"/>
  <c r="E396" i="7"/>
  <c r="H395" i="7"/>
  <c r="G395" i="7"/>
  <c r="E395" i="7"/>
  <c r="H394" i="7"/>
  <c r="G394" i="7"/>
  <c r="E394" i="7"/>
  <c r="H393" i="7"/>
  <c r="G393" i="7"/>
  <c r="E393" i="7"/>
  <c r="H392" i="7"/>
  <c r="G392" i="7"/>
  <c r="E392" i="7"/>
  <c r="H391" i="7"/>
  <c r="G391" i="7"/>
  <c r="E391" i="7"/>
  <c r="H390" i="7"/>
  <c r="G390" i="7"/>
  <c r="E390" i="7"/>
  <c r="H389" i="7"/>
  <c r="G389" i="7"/>
  <c r="E389" i="7"/>
  <c r="H388" i="7"/>
  <c r="G388" i="7"/>
  <c r="E388" i="7"/>
  <c r="H387" i="7"/>
  <c r="G387" i="7"/>
  <c r="E387" i="7"/>
  <c r="H386" i="7"/>
  <c r="G386" i="7"/>
  <c r="E386" i="7"/>
  <c r="H385" i="7"/>
  <c r="G385" i="7"/>
  <c r="E385" i="7"/>
  <c r="H384" i="7"/>
  <c r="G384" i="7"/>
  <c r="E384" i="7"/>
  <c r="H383" i="7"/>
  <c r="G383" i="7"/>
  <c r="E383" i="7"/>
  <c r="H382" i="7"/>
  <c r="G382" i="7"/>
  <c r="E382" i="7"/>
  <c r="H381" i="7"/>
  <c r="G381" i="7"/>
  <c r="E381" i="7"/>
  <c r="H380" i="7"/>
  <c r="G380" i="7"/>
  <c r="E380" i="7"/>
  <c r="H379" i="7"/>
  <c r="G379" i="7"/>
  <c r="E379" i="7"/>
  <c r="H378" i="7"/>
  <c r="G378" i="7"/>
  <c r="E378" i="7"/>
  <c r="H377" i="7"/>
  <c r="G377" i="7"/>
  <c r="E377" i="7"/>
  <c r="H376" i="7"/>
  <c r="G376" i="7"/>
  <c r="E376" i="7"/>
  <c r="H375" i="7"/>
  <c r="G375" i="7"/>
  <c r="E375" i="7"/>
  <c r="H374" i="7"/>
  <c r="G374" i="7"/>
  <c r="E374" i="7"/>
  <c r="H373" i="7"/>
  <c r="G373" i="7"/>
  <c r="E373" i="7"/>
  <c r="H372" i="7"/>
  <c r="G372" i="7"/>
  <c r="E372" i="7"/>
  <c r="H371" i="7"/>
  <c r="G371" i="7"/>
  <c r="E371" i="7"/>
  <c r="H370" i="7"/>
  <c r="G370" i="7"/>
  <c r="E370" i="7"/>
  <c r="H369" i="7"/>
  <c r="G369" i="7"/>
  <c r="E369" i="7"/>
  <c r="H368" i="7"/>
  <c r="G368" i="7"/>
  <c r="E368" i="7"/>
  <c r="H367" i="7"/>
  <c r="G367" i="7"/>
  <c r="E367" i="7"/>
  <c r="H366" i="7"/>
  <c r="G366" i="7"/>
  <c r="E366" i="7"/>
  <c r="H365" i="7"/>
  <c r="G365" i="7"/>
  <c r="E365" i="7"/>
  <c r="H364" i="7"/>
  <c r="G364" i="7"/>
  <c r="E364" i="7"/>
  <c r="H363" i="7"/>
  <c r="G363" i="7"/>
  <c r="E363" i="7"/>
  <c r="H362" i="7"/>
  <c r="G362" i="7"/>
  <c r="E362" i="7"/>
  <c r="H361" i="7"/>
  <c r="G361" i="7"/>
  <c r="E361" i="7"/>
  <c r="H360" i="7"/>
  <c r="G360" i="7"/>
  <c r="E360" i="7"/>
  <c r="H359" i="7"/>
  <c r="G359" i="7"/>
  <c r="E359" i="7"/>
  <c r="H358" i="7"/>
  <c r="G358" i="7"/>
  <c r="E358" i="7"/>
  <c r="H357" i="7"/>
  <c r="G357" i="7"/>
  <c r="E357" i="7"/>
  <c r="H356" i="7"/>
  <c r="G356" i="7"/>
  <c r="E356" i="7"/>
  <c r="H355" i="7"/>
  <c r="G355" i="7"/>
  <c r="E355" i="7"/>
  <c r="H354" i="7"/>
  <c r="G354" i="7"/>
  <c r="E354" i="7"/>
  <c r="H353" i="7"/>
  <c r="G353" i="7"/>
  <c r="E353" i="7"/>
  <c r="H352" i="7"/>
  <c r="G352" i="7"/>
  <c r="E352" i="7"/>
  <c r="H351" i="7"/>
  <c r="G351" i="7"/>
  <c r="E351" i="7"/>
  <c r="H350" i="7"/>
  <c r="G350" i="7"/>
  <c r="E350" i="7"/>
  <c r="H349" i="7"/>
  <c r="G349" i="7"/>
  <c r="E349" i="7"/>
  <c r="H348" i="7"/>
  <c r="G348" i="7"/>
  <c r="E348" i="7"/>
  <c r="H347" i="7"/>
  <c r="G347" i="7"/>
  <c r="E347" i="7"/>
  <c r="H346" i="7"/>
  <c r="G346" i="7"/>
  <c r="E346" i="7"/>
  <c r="H345" i="7"/>
  <c r="G345" i="7"/>
  <c r="E345" i="7"/>
  <c r="H344" i="7"/>
  <c r="G344" i="7"/>
  <c r="E344" i="7"/>
  <c r="H343" i="7"/>
  <c r="G343" i="7"/>
  <c r="E343" i="7"/>
  <c r="H342" i="7"/>
  <c r="G342" i="7"/>
  <c r="E342" i="7"/>
  <c r="H341" i="7"/>
  <c r="G341" i="7"/>
  <c r="E341" i="7"/>
  <c r="H340" i="7"/>
  <c r="G340" i="7"/>
  <c r="E340" i="7"/>
  <c r="H339" i="7"/>
  <c r="G339" i="7"/>
  <c r="E339" i="7"/>
  <c r="H338" i="7"/>
  <c r="G338" i="7"/>
  <c r="E338" i="7"/>
  <c r="H337" i="7"/>
  <c r="G337" i="7"/>
  <c r="E337" i="7"/>
  <c r="H336" i="7"/>
  <c r="G336" i="7"/>
  <c r="E336" i="7"/>
  <c r="H335" i="7"/>
  <c r="G335" i="7"/>
  <c r="E335" i="7"/>
  <c r="H334" i="7"/>
  <c r="G334" i="7"/>
  <c r="E334" i="7"/>
  <c r="H333" i="7"/>
  <c r="G333" i="7"/>
  <c r="E333" i="7"/>
  <c r="H332" i="7"/>
  <c r="G332" i="7"/>
  <c r="E332" i="7"/>
  <c r="H331" i="7"/>
  <c r="G331" i="7"/>
  <c r="E331" i="7"/>
  <c r="H330" i="7"/>
  <c r="G330" i="7"/>
  <c r="E330" i="7"/>
  <c r="H329" i="7"/>
  <c r="G329" i="7"/>
  <c r="E329" i="7"/>
  <c r="G328" i="7"/>
  <c r="H327" i="7"/>
  <c r="G327" i="7"/>
  <c r="E327" i="7"/>
  <c r="H326" i="7"/>
  <c r="G326" i="7"/>
  <c r="E326" i="7"/>
  <c r="H325" i="7"/>
  <c r="G325" i="7"/>
  <c r="E325" i="7"/>
  <c r="H324" i="7"/>
  <c r="G324" i="7"/>
  <c r="E324" i="7"/>
  <c r="H323" i="7"/>
  <c r="G323" i="7"/>
  <c r="E323" i="7"/>
  <c r="H322" i="7"/>
  <c r="G322" i="7"/>
  <c r="E322" i="7"/>
  <c r="H321" i="7"/>
  <c r="G321" i="7"/>
  <c r="E321" i="7"/>
  <c r="H320" i="7"/>
  <c r="G320" i="7"/>
  <c r="E320" i="7"/>
  <c r="H319" i="7"/>
  <c r="G319" i="7"/>
  <c r="E319" i="7"/>
  <c r="H318" i="7"/>
  <c r="G318" i="7"/>
  <c r="E318" i="7"/>
  <c r="H317" i="7"/>
  <c r="G317" i="7"/>
  <c r="E317" i="7"/>
  <c r="H315" i="7"/>
  <c r="G315" i="7"/>
  <c r="E315" i="7"/>
  <c r="H314" i="7"/>
  <c r="G314" i="7"/>
  <c r="E314" i="7"/>
  <c r="H313" i="7"/>
  <c r="G313" i="7"/>
  <c r="E313" i="7"/>
  <c r="H312" i="7"/>
  <c r="G312" i="7"/>
  <c r="E312" i="7"/>
  <c r="H311" i="7"/>
  <c r="G311" i="7"/>
  <c r="E311" i="7"/>
  <c r="H310" i="7"/>
  <c r="G310" i="7"/>
  <c r="E310" i="7"/>
  <c r="H309" i="7"/>
  <c r="G309" i="7"/>
  <c r="E309" i="7"/>
  <c r="H308" i="7"/>
  <c r="G308" i="7"/>
  <c r="E308" i="7"/>
  <c r="H307" i="7"/>
  <c r="G307" i="7"/>
  <c r="E307" i="7"/>
  <c r="H306" i="7"/>
  <c r="G306" i="7"/>
  <c r="E306" i="7"/>
  <c r="H305" i="7"/>
  <c r="G305" i="7"/>
  <c r="E305" i="7"/>
  <c r="H304" i="7"/>
  <c r="G304" i="7"/>
  <c r="E304" i="7"/>
  <c r="H303" i="7"/>
  <c r="G303" i="7"/>
  <c r="E303" i="7"/>
  <c r="H302" i="7"/>
  <c r="G302" i="7"/>
  <c r="E302" i="7"/>
  <c r="H301" i="7"/>
  <c r="G301" i="7"/>
  <c r="E301" i="7"/>
  <c r="H300" i="7"/>
  <c r="G300" i="7"/>
  <c r="E300" i="7"/>
  <c r="H299" i="7"/>
  <c r="G299" i="7"/>
  <c r="E299" i="7"/>
  <c r="H298" i="7"/>
  <c r="G298" i="7"/>
  <c r="E298" i="7"/>
  <c r="H297" i="7"/>
  <c r="G297" i="7"/>
  <c r="E297" i="7"/>
  <c r="H296" i="7"/>
  <c r="G296" i="7"/>
  <c r="H295" i="7"/>
  <c r="G295" i="7"/>
  <c r="E295" i="7"/>
  <c r="H294" i="7"/>
  <c r="G294" i="7"/>
  <c r="E294" i="7"/>
  <c r="H293" i="7"/>
  <c r="G293" i="7"/>
  <c r="E293" i="7"/>
  <c r="H292" i="7"/>
  <c r="G292" i="7"/>
  <c r="E292" i="7"/>
  <c r="H291" i="7"/>
  <c r="G291" i="7"/>
  <c r="E291" i="7"/>
  <c r="H290" i="7"/>
  <c r="G290" i="7"/>
  <c r="E290" i="7"/>
  <c r="H289" i="7"/>
  <c r="G289" i="7"/>
  <c r="E289" i="7"/>
  <c r="H288" i="7"/>
  <c r="G288" i="7"/>
  <c r="E288" i="7"/>
  <c r="H287" i="7"/>
  <c r="G287" i="7"/>
  <c r="E287" i="7"/>
  <c r="H286" i="7"/>
  <c r="G286" i="7"/>
  <c r="E286" i="7"/>
  <c r="H285" i="7"/>
  <c r="G285" i="7"/>
  <c r="E285" i="7"/>
  <c r="H284" i="7"/>
  <c r="G284" i="7"/>
  <c r="E284" i="7"/>
  <c r="H283" i="7"/>
  <c r="G283" i="7"/>
  <c r="E283" i="7"/>
  <c r="H282" i="7"/>
  <c r="G282" i="7"/>
  <c r="E282" i="7"/>
  <c r="H281" i="7"/>
  <c r="G281" i="7"/>
  <c r="E281" i="7"/>
  <c r="H280" i="7"/>
  <c r="G280" i="7"/>
  <c r="E280" i="7"/>
  <c r="H279" i="7"/>
  <c r="G279" i="7"/>
  <c r="E279" i="7"/>
  <c r="H278" i="7"/>
  <c r="G278" i="7"/>
  <c r="E278" i="7"/>
  <c r="H277" i="7"/>
  <c r="G277" i="7"/>
  <c r="E277" i="7"/>
  <c r="H276" i="7"/>
  <c r="G276" i="7"/>
  <c r="E276" i="7"/>
  <c r="H275" i="7"/>
  <c r="G275" i="7"/>
  <c r="E275" i="7"/>
  <c r="H274" i="7"/>
  <c r="G274" i="7"/>
  <c r="E274" i="7"/>
  <c r="H273" i="7"/>
  <c r="G273" i="7"/>
  <c r="E273" i="7"/>
  <c r="H272" i="7"/>
  <c r="G272" i="7"/>
  <c r="E272" i="7"/>
  <c r="H271" i="7"/>
  <c r="G271" i="7"/>
  <c r="E271" i="7"/>
  <c r="H270" i="7"/>
  <c r="G270" i="7"/>
  <c r="E270" i="7"/>
  <c r="H269" i="7"/>
  <c r="G269" i="7"/>
  <c r="E269" i="7"/>
  <c r="H268" i="7"/>
  <c r="G268" i="7"/>
  <c r="E268" i="7"/>
  <c r="H267" i="7"/>
  <c r="G267" i="7"/>
  <c r="E267" i="7"/>
  <c r="H266" i="7"/>
  <c r="G266" i="7"/>
  <c r="E266" i="7"/>
  <c r="H265" i="7"/>
  <c r="G265" i="7"/>
  <c r="E265" i="7"/>
  <c r="H264" i="7"/>
  <c r="G264" i="7"/>
  <c r="E264" i="7"/>
  <c r="H263" i="7"/>
  <c r="G263" i="7"/>
  <c r="E263" i="7"/>
  <c r="H262" i="7"/>
  <c r="G262" i="7"/>
  <c r="E262" i="7"/>
  <c r="H261" i="7"/>
  <c r="G261" i="7"/>
  <c r="E261" i="7"/>
  <c r="H260" i="7"/>
  <c r="G260" i="7"/>
  <c r="E260" i="7"/>
  <c r="H259" i="7"/>
  <c r="G259" i="7"/>
  <c r="E259" i="7"/>
  <c r="H258" i="7"/>
  <c r="G258" i="7"/>
  <c r="E258" i="7"/>
  <c r="H257" i="7"/>
  <c r="G257" i="7"/>
  <c r="E257" i="7"/>
  <c r="H256" i="7"/>
  <c r="G256" i="7"/>
  <c r="E256" i="7"/>
  <c r="H255" i="7"/>
  <c r="G255" i="7"/>
  <c r="E255" i="7"/>
  <c r="H254" i="7"/>
  <c r="G254" i="7"/>
  <c r="E254" i="7"/>
  <c r="H253" i="7"/>
  <c r="G253" i="7"/>
  <c r="E253" i="7"/>
  <c r="H252" i="7"/>
  <c r="G252" i="7"/>
  <c r="E252" i="7"/>
  <c r="H251" i="7"/>
  <c r="G251" i="7"/>
  <c r="E251" i="7"/>
  <c r="H250" i="7"/>
  <c r="G250" i="7"/>
  <c r="E250" i="7"/>
  <c r="H249" i="7"/>
  <c r="G249" i="7"/>
  <c r="E249" i="7"/>
  <c r="H248" i="7"/>
  <c r="G248" i="7"/>
  <c r="E248" i="7"/>
  <c r="H247" i="7"/>
  <c r="G247" i="7"/>
  <c r="E247" i="7"/>
  <c r="H246" i="7"/>
  <c r="G246" i="7"/>
  <c r="E246" i="7"/>
  <c r="H245" i="7"/>
  <c r="G245" i="7"/>
  <c r="E245" i="7"/>
  <c r="H244" i="7"/>
  <c r="G244" i="7"/>
  <c r="E244" i="7"/>
  <c r="H243" i="7"/>
  <c r="G243" i="7"/>
  <c r="E243" i="7"/>
  <c r="H242" i="7"/>
  <c r="G242" i="7"/>
  <c r="E242" i="7"/>
  <c r="H241" i="7"/>
  <c r="G241" i="7"/>
  <c r="E241" i="7"/>
  <c r="H240" i="7"/>
  <c r="G240" i="7"/>
  <c r="E240" i="7"/>
  <c r="H239" i="7"/>
  <c r="G239" i="7"/>
  <c r="E239" i="7"/>
  <c r="H238" i="7"/>
  <c r="G238" i="7"/>
  <c r="E238" i="7"/>
  <c r="H237" i="7"/>
  <c r="G237" i="7"/>
  <c r="E237" i="7"/>
  <c r="H236" i="7"/>
  <c r="G236" i="7"/>
  <c r="E236" i="7"/>
  <c r="H235" i="7"/>
  <c r="G235" i="7"/>
  <c r="E235" i="7"/>
  <c r="H234" i="7"/>
  <c r="G234" i="7"/>
  <c r="E234" i="7"/>
  <c r="H233" i="7"/>
  <c r="G233" i="7"/>
  <c r="E233" i="7"/>
  <c r="H232" i="7"/>
  <c r="G232" i="7"/>
  <c r="E232" i="7"/>
  <c r="H231" i="7"/>
  <c r="G231" i="7"/>
  <c r="E231" i="7"/>
  <c r="H230" i="7"/>
  <c r="G230" i="7"/>
  <c r="E230" i="7"/>
  <c r="H229" i="7"/>
  <c r="G229" i="7"/>
  <c r="E229" i="7"/>
  <c r="H228" i="7"/>
  <c r="G228" i="7"/>
  <c r="E228" i="7"/>
  <c r="H227" i="7"/>
  <c r="G227" i="7"/>
  <c r="E227" i="7"/>
  <c r="H226" i="7"/>
  <c r="G226" i="7"/>
  <c r="E226" i="7"/>
  <c r="H225" i="7"/>
  <c r="G225" i="7"/>
  <c r="E225" i="7"/>
  <c r="H224" i="7"/>
  <c r="G224" i="7"/>
  <c r="E224" i="7"/>
  <c r="H223" i="7"/>
  <c r="G223" i="7"/>
  <c r="E223" i="7"/>
  <c r="H222" i="7"/>
  <c r="G222" i="7"/>
  <c r="E222" i="7"/>
  <c r="H221" i="7"/>
  <c r="G221" i="7"/>
  <c r="E221" i="7"/>
  <c r="H220" i="7"/>
  <c r="G220" i="7"/>
  <c r="E220" i="7"/>
  <c r="H219" i="7"/>
  <c r="G219" i="7"/>
  <c r="E219" i="7"/>
  <c r="H218" i="7"/>
  <c r="G218" i="7"/>
  <c r="E218" i="7"/>
  <c r="H217" i="7"/>
  <c r="G217" i="7"/>
  <c r="E217" i="7"/>
  <c r="H216" i="7"/>
  <c r="G216" i="7"/>
  <c r="E216" i="7"/>
  <c r="H215" i="7"/>
  <c r="G215" i="7"/>
  <c r="E215" i="7"/>
  <c r="H214" i="7"/>
  <c r="G214" i="7"/>
  <c r="E214" i="7"/>
  <c r="H213" i="7"/>
  <c r="G213" i="7"/>
  <c r="E213" i="7"/>
  <c r="H212" i="7"/>
  <c r="G212" i="7"/>
  <c r="E212" i="7"/>
  <c r="H211" i="7"/>
  <c r="G211" i="7"/>
  <c r="E211" i="7"/>
  <c r="H210" i="7"/>
  <c r="G210" i="7"/>
  <c r="E210" i="7"/>
  <c r="H209" i="7"/>
  <c r="G209" i="7"/>
  <c r="E209" i="7"/>
  <c r="H208" i="7"/>
  <c r="G208" i="7"/>
  <c r="E208" i="7"/>
  <c r="H207" i="7"/>
  <c r="G207" i="7"/>
  <c r="E207" i="7"/>
  <c r="H206" i="7"/>
  <c r="G206" i="7"/>
  <c r="E206" i="7"/>
  <c r="H205" i="7"/>
  <c r="G205" i="7"/>
  <c r="E205" i="7"/>
  <c r="H204" i="7"/>
  <c r="G204" i="7"/>
  <c r="E204" i="7"/>
  <c r="H203" i="7"/>
  <c r="G203" i="7"/>
  <c r="E203" i="7"/>
  <c r="H202" i="7"/>
  <c r="G202" i="7"/>
  <c r="E202" i="7"/>
  <c r="H201" i="7"/>
  <c r="G201" i="7"/>
  <c r="E201" i="7"/>
  <c r="H200" i="7"/>
  <c r="G200" i="7"/>
  <c r="E200" i="7"/>
  <c r="H199" i="7"/>
  <c r="G199" i="7"/>
  <c r="E199" i="7"/>
  <c r="H198" i="7"/>
  <c r="G198" i="7"/>
  <c r="E198" i="7"/>
  <c r="H197" i="7"/>
  <c r="G197" i="7"/>
  <c r="E197" i="7"/>
  <c r="H196" i="7"/>
  <c r="G196" i="7"/>
  <c r="E196" i="7"/>
  <c r="H195" i="7"/>
  <c r="G195" i="7"/>
  <c r="E195" i="7"/>
  <c r="H194" i="7"/>
  <c r="G194" i="7"/>
  <c r="E194" i="7"/>
  <c r="H193" i="7"/>
  <c r="G193" i="7"/>
  <c r="E193" i="7"/>
  <c r="H192" i="7"/>
  <c r="G192" i="7"/>
  <c r="E192" i="7"/>
  <c r="H191" i="7"/>
  <c r="G191" i="7"/>
  <c r="E191" i="7"/>
  <c r="H190" i="7"/>
  <c r="G190" i="7"/>
  <c r="E190" i="7"/>
  <c r="H189" i="7"/>
  <c r="G189" i="7"/>
  <c r="E189" i="7"/>
  <c r="H188" i="7"/>
  <c r="G188" i="7"/>
  <c r="E188" i="7"/>
  <c r="H187" i="7"/>
  <c r="G187" i="7"/>
  <c r="E187" i="7"/>
  <c r="H186" i="7"/>
  <c r="G186" i="7"/>
  <c r="E186" i="7"/>
  <c r="H185" i="7"/>
  <c r="G185" i="7"/>
  <c r="E185" i="7"/>
  <c r="H184" i="7"/>
  <c r="G184" i="7"/>
  <c r="E184" i="7"/>
  <c r="H183" i="7"/>
  <c r="G183" i="7"/>
  <c r="E183" i="7"/>
  <c r="H182" i="7"/>
  <c r="G182" i="7"/>
  <c r="E182" i="7"/>
  <c r="H181" i="7"/>
  <c r="G181" i="7"/>
  <c r="E181" i="7"/>
  <c r="H180" i="7"/>
  <c r="G180" i="7"/>
  <c r="E180" i="7"/>
  <c r="H179" i="7"/>
  <c r="G179" i="7"/>
  <c r="E179" i="7"/>
  <c r="H178" i="7"/>
  <c r="G178" i="7"/>
  <c r="E178" i="7"/>
  <c r="H177" i="7"/>
  <c r="G177" i="7"/>
  <c r="E177" i="7"/>
  <c r="H176" i="7"/>
  <c r="G176" i="7"/>
  <c r="E176" i="7"/>
  <c r="H175" i="7"/>
  <c r="G175" i="7"/>
  <c r="E175" i="7"/>
  <c r="H174" i="7"/>
  <c r="G174" i="7"/>
  <c r="E174" i="7"/>
  <c r="H173" i="7"/>
  <c r="G173" i="7"/>
  <c r="E173" i="7"/>
  <c r="H172" i="7"/>
  <c r="G172" i="7"/>
  <c r="E172" i="7"/>
  <c r="H171" i="7"/>
  <c r="G171" i="7"/>
  <c r="E171" i="7"/>
  <c r="H170" i="7"/>
  <c r="G170" i="7"/>
  <c r="E170" i="7"/>
  <c r="H169" i="7"/>
  <c r="G169" i="7"/>
  <c r="E169" i="7"/>
  <c r="H168" i="7"/>
  <c r="G168" i="7"/>
  <c r="E168" i="7"/>
  <c r="H167" i="7"/>
  <c r="G167" i="7"/>
  <c r="E167" i="7"/>
  <c r="H166" i="7"/>
  <c r="G166" i="7"/>
  <c r="E166" i="7"/>
  <c r="H165" i="7"/>
  <c r="G165" i="7"/>
  <c r="E165" i="7"/>
  <c r="H164" i="7"/>
  <c r="G164" i="7"/>
  <c r="E164" i="7"/>
  <c r="H163" i="7"/>
  <c r="G163" i="7"/>
  <c r="E163" i="7"/>
  <c r="H162" i="7"/>
  <c r="G162" i="7"/>
  <c r="E162" i="7"/>
  <c r="H161" i="7"/>
  <c r="G161" i="7"/>
  <c r="E161" i="7"/>
  <c r="H160" i="7"/>
  <c r="G160" i="7"/>
  <c r="E160" i="7"/>
  <c r="H159" i="7"/>
  <c r="G159" i="7"/>
  <c r="E159" i="7"/>
  <c r="H158" i="7"/>
  <c r="G158" i="7"/>
  <c r="E158" i="7"/>
  <c r="H157" i="7"/>
  <c r="G157" i="7"/>
  <c r="E157" i="7"/>
  <c r="H156" i="7"/>
  <c r="G156" i="7"/>
  <c r="E156" i="7"/>
  <c r="H155" i="7"/>
  <c r="G155" i="7"/>
  <c r="E155" i="7"/>
  <c r="H154" i="7"/>
  <c r="G154" i="7"/>
  <c r="E154" i="7"/>
  <c r="H153" i="7"/>
  <c r="G153" i="7"/>
  <c r="E153" i="7"/>
  <c r="H152" i="7"/>
  <c r="G152" i="7"/>
  <c r="E152" i="7"/>
  <c r="H151" i="7"/>
  <c r="G151" i="7"/>
  <c r="E151" i="7"/>
  <c r="H150" i="7"/>
  <c r="G150" i="7"/>
  <c r="E150" i="7"/>
  <c r="H149" i="7"/>
  <c r="G149" i="7"/>
  <c r="E149" i="7"/>
  <c r="H148" i="7"/>
  <c r="G148" i="7"/>
  <c r="E148" i="7"/>
  <c r="H147" i="7"/>
  <c r="G147" i="7"/>
  <c r="E147" i="7"/>
  <c r="H146" i="7"/>
  <c r="G146" i="7"/>
  <c r="E146" i="7"/>
  <c r="H144" i="7"/>
  <c r="G144" i="7"/>
  <c r="E144" i="7"/>
  <c r="H143" i="7"/>
  <c r="G143" i="7"/>
  <c r="E143" i="7"/>
  <c r="H142" i="7"/>
  <c r="G142" i="7"/>
  <c r="E142" i="7"/>
  <c r="H141" i="7"/>
  <c r="G141" i="7"/>
  <c r="E141" i="7"/>
  <c r="H140" i="7"/>
  <c r="G140" i="7"/>
  <c r="E140" i="7"/>
  <c r="H139" i="7"/>
  <c r="G139" i="7"/>
  <c r="E139" i="7"/>
  <c r="H138" i="7"/>
  <c r="G138" i="7"/>
  <c r="E138" i="7"/>
  <c r="H137" i="7"/>
  <c r="G137" i="7"/>
  <c r="E137" i="7"/>
  <c r="H136" i="7"/>
  <c r="G136" i="7"/>
  <c r="E136" i="7"/>
  <c r="H135" i="7"/>
  <c r="G135" i="7"/>
  <c r="E135" i="7"/>
  <c r="H134" i="7"/>
  <c r="G134" i="7"/>
  <c r="E134" i="7"/>
  <c r="H133" i="7"/>
  <c r="G133" i="7"/>
  <c r="E133" i="7"/>
  <c r="H132" i="7"/>
  <c r="G132" i="7"/>
  <c r="E132" i="7"/>
  <c r="H131" i="7"/>
  <c r="G131" i="7"/>
  <c r="E131" i="7"/>
  <c r="H130" i="7"/>
  <c r="G130" i="7"/>
  <c r="E130" i="7"/>
  <c r="H129" i="7"/>
  <c r="G129" i="7"/>
  <c r="E129" i="7"/>
  <c r="H128" i="7"/>
  <c r="G128" i="7"/>
  <c r="E128" i="7"/>
  <c r="H127" i="7"/>
  <c r="G127" i="7"/>
  <c r="E127" i="7"/>
  <c r="H126" i="7"/>
  <c r="G126" i="7"/>
  <c r="E126" i="7"/>
  <c r="H125" i="7"/>
  <c r="G125" i="7"/>
  <c r="E125" i="7"/>
  <c r="H124" i="7"/>
  <c r="G124" i="7"/>
  <c r="E124" i="7"/>
  <c r="H123" i="7"/>
  <c r="G123" i="7"/>
  <c r="E123" i="7"/>
  <c r="H122" i="7"/>
  <c r="G122" i="7"/>
  <c r="E122" i="7"/>
  <c r="H121" i="7"/>
  <c r="G121" i="7"/>
  <c r="E121" i="7"/>
  <c r="H120" i="7"/>
  <c r="G120" i="7"/>
  <c r="E120" i="7"/>
  <c r="H119" i="7"/>
  <c r="G119" i="7"/>
  <c r="E119" i="7"/>
  <c r="H118" i="7"/>
  <c r="G118" i="7"/>
  <c r="E118" i="7"/>
  <c r="H117" i="7"/>
  <c r="G117" i="7"/>
  <c r="E117" i="7"/>
  <c r="H116" i="7"/>
  <c r="G116" i="7"/>
  <c r="E116" i="7"/>
  <c r="H115" i="7"/>
  <c r="G115" i="7"/>
  <c r="E115" i="7"/>
  <c r="H114" i="7"/>
  <c r="G114" i="7"/>
  <c r="E114" i="7"/>
  <c r="H113" i="7"/>
  <c r="G113" i="7"/>
  <c r="E113" i="7"/>
  <c r="H112" i="7"/>
  <c r="G112" i="7"/>
  <c r="E112" i="7"/>
  <c r="H111" i="7"/>
  <c r="G111" i="7"/>
  <c r="E111" i="7"/>
  <c r="H110" i="7"/>
  <c r="G110" i="7"/>
  <c r="E110" i="7"/>
  <c r="H109" i="7"/>
  <c r="G109" i="7"/>
  <c r="E109" i="7"/>
  <c r="H108" i="7"/>
  <c r="G108" i="7"/>
  <c r="E108" i="7"/>
  <c r="H107" i="7"/>
  <c r="G107" i="7"/>
  <c r="E107" i="7"/>
  <c r="H106" i="7"/>
  <c r="G106" i="7"/>
  <c r="E106" i="7"/>
  <c r="H105" i="7"/>
  <c r="G105" i="7"/>
  <c r="E105" i="7"/>
  <c r="H104" i="7"/>
  <c r="G104" i="7"/>
  <c r="E104" i="7"/>
  <c r="H103" i="7"/>
  <c r="G103" i="7"/>
  <c r="E103" i="7"/>
  <c r="H102" i="7"/>
  <c r="G102" i="7"/>
  <c r="E102" i="7"/>
  <c r="H101" i="7"/>
  <c r="G101" i="7"/>
  <c r="E101" i="7"/>
  <c r="H100" i="7"/>
  <c r="G100" i="7"/>
  <c r="E100" i="7"/>
  <c r="H98" i="7"/>
  <c r="G98" i="7"/>
  <c r="E98" i="7"/>
  <c r="H97" i="7"/>
  <c r="G97" i="7"/>
  <c r="E97" i="7"/>
  <c r="H96" i="7"/>
  <c r="G96" i="7"/>
  <c r="E96" i="7"/>
  <c r="H95" i="7"/>
  <c r="G95" i="7"/>
  <c r="E95" i="7"/>
  <c r="H94" i="7"/>
  <c r="G94" i="7"/>
  <c r="E94" i="7"/>
  <c r="H93" i="7"/>
  <c r="G93" i="7"/>
  <c r="E93" i="7"/>
  <c r="H92" i="7"/>
  <c r="G92" i="7"/>
  <c r="E92" i="7"/>
  <c r="H91" i="7"/>
  <c r="G91" i="7"/>
  <c r="E91" i="7"/>
  <c r="H90" i="7"/>
  <c r="G90" i="7"/>
  <c r="E90" i="7"/>
  <c r="H89" i="7"/>
  <c r="G89" i="7"/>
  <c r="E89" i="7"/>
  <c r="H88" i="7"/>
  <c r="G88" i="7"/>
  <c r="E88" i="7"/>
  <c r="H87" i="7"/>
  <c r="G87" i="7"/>
  <c r="E87" i="7"/>
  <c r="H86" i="7"/>
  <c r="G86" i="7"/>
  <c r="E86" i="7"/>
  <c r="H85" i="7"/>
  <c r="G85" i="7"/>
  <c r="E85" i="7"/>
  <c r="H84" i="7"/>
  <c r="G84" i="7"/>
  <c r="E84" i="7"/>
  <c r="H83" i="7"/>
  <c r="G83" i="7"/>
  <c r="E83" i="7"/>
  <c r="H82" i="7"/>
  <c r="G82" i="7"/>
  <c r="E82" i="7"/>
  <c r="H81" i="7"/>
  <c r="G81" i="7"/>
  <c r="E81" i="7"/>
  <c r="H80" i="7"/>
  <c r="G80" i="7"/>
  <c r="E80" i="7"/>
  <c r="H79" i="7"/>
  <c r="G79" i="7"/>
  <c r="E79" i="7"/>
  <c r="H78" i="7"/>
  <c r="G78" i="7"/>
  <c r="E78" i="7"/>
  <c r="H77" i="7"/>
  <c r="G77" i="7"/>
  <c r="E77" i="7"/>
  <c r="H76" i="7"/>
  <c r="G76" i="7"/>
  <c r="E76" i="7"/>
  <c r="H75" i="7"/>
  <c r="G75" i="7"/>
  <c r="E75" i="7"/>
  <c r="H74" i="7"/>
  <c r="G74" i="7"/>
  <c r="E74" i="7"/>
  <c r="H73" i="7"/>
  <c r="G73" i="7"/>
  <c r="E73" i="7"/>
  <c r="H72" i="7"/>
  <c r="G72" i="7"/>
  <c r="E72" i="7"/>
  <c r="H71" i="7"/>
  <c r="G71" i="7"/>
  <c r="E71" i="7"/>
  <c r="H70" i="7"/>
  <c r="G70" i="7"/>
  <c r="E70" i="7"/>
  <c r="H69" i="7"/>
  <c r="G69" i="7"/>
  <c r="E69" i="7"/>
  <c r="H68" i="7"/>
  <c r="G68" i="7"/>
  <c r="E68" i="7"/>
  <c r="H67" i="7"/>
  <c r="G67" i="7"/>
  <c r="E67" i="7"/>
  <c r="H66" i="7"/>
  <c r="G66" i="7"/>
  <c r="E66" i="7"/>
  <c r="H65" i="7"/>
  <c r="G65" i="7"/>
  <c r="E65" i="7"/>
  <c r="H64" i="7"/>
  <c r="G64" i="7"/>
  <c r="E64" i="7"/>
  <c r="H63" i="7"/>
  <c r="G63" i="7"/>
  <c r="E63" i="7"/>
  <c r="H62" i="7"/>
  <c r="G62" i="7"/>
  <c r="E62" i="7"/>
  <c r="H61" i="7"/>
  <c r="G61" i="7"/>
  <c r="E61" i="7"/>
  <c r="H60" i="7"/>
  <c r="G60" i="7"/>
  <c r="E60" i="7"/>
  <c r="H59" i="7"/>
  <c r="G59" i="7"/>
  <c r="E59" i="7"/>
  <c r="H58" i="7"/>
  <c r="G58" i="7"/>
  <c r="E58" i="7"/>
  <c r="H57" i="7"/>
  <c r="G57" i="7"/>
  <c r="E57" i="7"/>
  <c r="H56" i="7"/>
  <c r="G56" i="7"/>
  <c r="E56" i="7"/>
  <c r="H55" i="7"/>
  <c r="G55" i="7"/>
  <c r="E55" i="7"/>
  <c r="H54" i="7"/>
  <c r="G54" i="7"/>
  <c r="E54" i="7"/>
  <c r="H53" i="7"/>
  <c r="G53" i="7"/>
  <c r="E53" i="7"/>
  <c r="H52" i="7"/>
  <c r="G52" i="7"/>
  <c r="E52" i="7"/>
  <c r="H51" i="7"/>
  <c r="G51" i="7"/>
  <c r="E51" i="7"/>
  <c r="H50" i="7"/>
  <c r="G50" i="7"/>
  <c r="E50" i="7"/>
  <c r="H49" i="7"/>
  <c r="G49" i="7"/>
  <c r="E49" i="7"/>
  <c r="H48" i="7"/>
  <c r="G48" i="7"/>
  <c r="E48" i="7"/>
  <c r="H47" i="7"/>
  <c r="G47" i="7"/>
  <c r="E47" i="7"/>
  <c r="H46" i="7"/>
  <c r="G46" i="7"/>
  <c r="E46" i="7"/>
  <c r="H45" i="7"/>
  <c r="G45" i="7"/>
  <c r="E45" i="7"/>
  <c r="H44" i="7"/>
  <c r="G44" i="7"/>
  <c r="E44" i="7"/>
  <c r="H43" i="7"/>
  <c r="G43" i="7"/>
  <c r="E43" i="7"/>
  <c r="H42" i="7"/>
  <c r="G42" i="7"/>
  <c r="E42" i="7"/>
  <c r="H41" i="7"/>
  <c r="G41" i="7"/>
  <c r="E41" i="7"/>
  <c r="H40" i="7"/>
  <c r="G40" i="7"/>
  <c r="E40" i="7"/>
  <c r="H39" i="7"/>
  <c r="G39" i="7"/>
  <c r="E39" i="7"/>
  <c r="H38" i="7"/>
  <c r="G38" i="7"/>
  <c r="E38" i="7"/>
  <c r="H37" i="7"/>
  <c r="G37" i="7"/>
  <c r="E37" i="7"/>
  <c r="H36" i="7"/>
  <c r="G36" i="7"/>
  <c r="E36" i="7"/>
  <c r="H35" i="7"/>
  <c r="G35" i="7"/>
  <c r="E35" i="7"/>
  <c r="H34" i="7"/>
  <c r="G34" i="7"/>
  <c r="E34" i="7"/>
  <c r="H33" i="7"/>
  <c r="G33" i="7"/>
  <c r="E33" i="7"/>
  <c r="H32" i="7"/>
  <c r="G32" i="7"/>
  <c r="E32" i="7"/>
  <c r="H31" i="7"/>
  <c r="G31" i="7"/>
  <c r="E31" i="7"/>
  <c r="H30" i="7"/>
  <c r="G30" i="7"/>
  <c r="E30" i="7"/>
  <c r="H29" i="7"/>
  <c r="G29" i="7"/>
  <c r="E29" i="7"/>
  <c r="H28" i="7"/>
  <c r="G28" i="7"/>
  <c r="E28" i="7"/>
  <c r="H27" i="7"/>
  <c r="G27" i="7"/>
  <c r="E27" i="7"/>
  <c r="H26" i="7"/>
  <c r="G26" i="7"/>
  <c r="E26" i="7"/>
  <c r="H25" i="7"/>
  <c r="G25" i="7"/>
  <c r="E25" i="7"/>
  <c r="H24" i="7"/>
  <c r="G24" i="7"/>
  <c r="H23" i="7"/>
  <c r="G23" i="7"/>
  <c r="E23" i="7"/>
  <c r="H21" i="7"/>
  <c r="G21" i="7"/>
  <c r="E21" i="7"/>
  <c r="H20" i="7"/>
  <c r="G20" i="7"/>
  <c r="E20" i="7"/>
  <c r="H19" i="7"/>
  <c r="G19" i="7"/>
  <c r="E19" i="7"/>
  <c r="H18" i="7"/>
  <c r="G18" i="7"/>
  <c r="E18" i="7"/>
  <c r="H17" i="7"/>
  <c r="G17" i="7"/>
  <c r="E17" i="7"/>
  <c r="H16" i="7"/>
  <c r="G16" i="7"/>
  <c r="E16" i="7"/>
  <c r="H15" i="7"/>
  <c r="G15" i="7"/>
  <c r="E15" i="7"/>
  <c r="H14" i="7"/>
  <c r="G14" i="7"/>
  <c r="E14" i="7"/>
  <c r="H13" i="7"/>
  <c r="G13" i="7"/>
  <c r="E13" i="7"/>
  <c r="H12" i="7"/>
  <c r="G12" i="7"/>
  <c r="E12" i="7"/>
  <c r="H11" i="7"/>
  <c r="G11" i="7"/>
  <c r="E11" i="7"/>
  <c r="H10" i="7"/>
  <c r="G10" i="7"/>
  <c r="E10" i="7"/>
  <c r="H9" i="7"/>
  <c r="G9" i="7"/>
  <c r="E9" i="7"/>
  <c r="H8" i="7"/>
  <c r="G8" i="7"/>
  <c r="E8" i="7"/>
  <c r="H7" i="7"/>
  <c r="G7" i="7"/>
  <c r="H6" i="7"/>
  <c r="G6" i="7"/>
  <c r="H5" i="7"/>
  <c r="G5" i="7"/>
  <c r="E5" i="7"/>
  <c r="H4" i="7"/>
  <c r="G4" i="7"/>
  <c r="E4" i="7"/>
  <c r="H3" i="7"/>
  <c r="G3" i="7"/>
  <c r="E3" i="7"/>
</calcChain>
</file>

<file path=xl/sharedStrings.xml><?xml version="1.0" encoding="utf-8"?>
<sst xmlns="http://schemas.openxmlformats.org/spreadsheetml/2006/main" count="6066" uniqueCount="4066">
  <si>
    <t>50783003</t>
  </si>
  <si>
    <t>53212903</t>
  </si>
  <si>
    <t>53213136</t>
  </si>
  <si>
    <t>53213149</t>
  </si>
  <si>
    <t>53213216</t>
  </si>
  <si>
    <t>53213707</t>
  </si>
  <si>
    <t>53214669</t>
  </si>
  <si>
    <t>50102594</t>
  </si>
  <si>
    <t>50102624</t>
  </si>
  <si>
    <t>50102642</t>
  </si>
  <si>
    <t>50102791</t>
  </si>
  <si>
    <t>53326345</t>
  </si>
  <si>
    <t>53326346</t>
  </si>
  <si>
    <t>50384765</t>
  </si>
  <si>
    <t>50385086</t>
  </si>
  <si>
    <t>53719119</t>
  </si>
  <si>
    <t>53719327</t>
  </si>
  <si>
    <t>53719413</t>
  </si>
  <si>
    <t>53719818</t>
  </si>
  <si>
    <t>53872979</t>
  </si>
  <si>
    <t>50435766</t>
  </si>
  <si>
    <t>50435768</t>
  </si>
  <si>
    <t>50436089</t>
  </si>
  <si>
    <t>50446856</t>
  </si>
  <si>
    <t>50393928</t>
  </si>
  <si>
    <t>50394326</t>
  </si>
  <si>
    <t>50394552</t>
  </si>
  <si>
    <t>50394639</t>
  </si>
  <si>
    <t>30904461</t>
  </si>
  <si>
    <t>30904490</t>
  </si>
  <si>
    <t>30904597</t>
  </si>
  <si>
    <t>30904629</t>
  </si>
  <si>
    <t>50101705</t>
  </si>
  <si>
    <t>50101718</t>
  </si>
  <si>
    <t>51130121</t>
  </si>
  <si>
    <t>51130328</t>
  </si>
  <si>
    <t>51170281</t>
  </si>
  <si>
    <t>53225618</t>
  </si>
  <si>
    <t>53226777</t>
  </si>
  <si>
    <t>53345183</t>
  </si>
  <si>
    <t>50971087</t>
  </si>
  <si>
    <t>50588605</t>
  </si>
  <si>
    <t>50588656</t>
  </si>
  <si>
    <t>50595767</t>
  </si>
  <si>
    <t>50595772</t>
  </si>
  <si>
    <t>53255372</t>
  </si>
  <si>
    <t>53255412</t>
  </si>
  <si>
    <t>53255441</t>
  </si>
  <si>
    <t>53255544</t>
  </si>
  <si>
    <t>50910404</t>
  </si>
  <si>
    <t>50912651</t>
  </si>
  <si>
    <t>80658225</t>
  </si>
  <si>
    <t>80663632</t>
  </si>
  <si>
    <t>80663888</t>
  </si>
  <si>
    <t>80665819</t>
  </si>
  <si>
    <t>53065188</t>
  </si>
  <si>
    <t>53065204</t>
  </si>
  <si>
    <t>53065234</t>
  </si>
  <si>
    <t>50752290</t>
  </si>
  <si>
    <t>50752691</t>
  </si>
  <si>
    <t>50752693</t>
  </si>
  <si>
    <t>50772154</t>
  </si>
  <si>
    <t>51300027</t>
  </si>
  <si>
    <t>80220742</t>
  </si>
  <si>
    <t>80221576</t>
  </si>
  <si>
    <t>80222046</t>
  </si>
  <si>
    <t>80251322</t>
  </si>
  <si>
    <t>53064540</t>
  </si>
  <si>
    <t>50681866</t>
  </si>
  <si>
    <t>50782909</t>
  </si>
  <si>
    <t>50782911</t>
  </si>
  <si>
    <t>50102042</t>
  </si>
  <si>
    <t>50102065</t>
  </si>
  <si>
    <t>50102392</t>
  </si>
  <si>
    <t>50102449</t>
  </si>
  <si>
    <t>50102463</t>
  </si>
  <si>
    <t>50102490</t>
  </si>
  <si>
    <t>30112188</t>
  </si>
  <si>
    <t>30112446</t>
  </si>
  <si>
    <t>30112756</t>
  </si>
  <si>
    <t>30113128</t>
  </si>
  <si>
    <t>30113129</t>
  </si>
  <si>
    <t>30113159</t>
  </si>
  <si>
    <t>50102831</t>
  </si>
  <si>
    <t>50102899</t>
  </si>
  <si>
    <t>51490342</t>
  </si>
  <si>
    <t>53044470</t>
  </si>
  <si>
    <t>50132410</t>
  </si>
  <si>
    <t>50132415</t>
  </si>
  <si>
    <t>50132592</t>
  </si>
  <si>
    <t>50132624</t>
  </si>
  <si>
    <t>50132738</t>
  </si>
  <si>
    <t>50465671</t>
  </si>
  <si>
    <t>50783012</t>
  </si>
  <si>
    <t>50783013</t>
  </si>
  <si>
    <t>50783019</t>
  </si>
  <si>
    <t>53172184</t>
  </si>
  <si>
    <t>53182390B</t>
  </si>
  <si>
    <t>50773272</t>
  </si>
  <si>
    <t>50773306</t>
  </si>
  <si>
    <t>50773347</t>
  </si>
  <si>
    <t>50773358</t>
  </si>
  <si>
    <t>80752481</t>
  </si>
  <si>
    <t>80753665</t>
  </si>
  <si>
    <t>80755666</t>
  </si>
  <si>
    <t>80757342</t>
  </si>
  <si>
    <t>80761361</t>
  </si>
  <si>
    <t>81091881</t>
  </si>
  <si>
    <t>81119505</t>
  </si>
  <si>
    <t>81119756</t>
  </si>
  <si>
    <t>81127765</t>
  </si>
  <si>
    <t>現當代文學</t>
  </si>
  <si>
    <t>國學．專題研究</t>
  </si>
  <si>
    <t>民俗．文化</t>
  </si>
  <si>
    <t>50542293</t>
  </si>
  <si>
    <t>50542294</t>
  </si>
  <si>
    <t>50542296</t>
  </si>
  <si>
    <t>50542423</t>
  </si>
  <si>
    <t>53253960</t>
  </si>
  <si>
    <t>53254017</t>
  </si>
  <si>
    <t>53254034</t>
  </si>
  <si>
    <t>53254069</t>
  </si>
  <si>
    <t>50342254</t>
  </si>
  <si>
    <t>50342255</t>
  </si>
  <si>
    <t>50342256</t>
  </si>
  <si>
    <t>50342257</t>
  </si>
  <si>
    <t>50369893</t>
  </si>
  <si>
    <t>30804769</t>
  </si>
  <si>
    <t>30902516</t>
  </si>
  <si>
    <t>30903819</t>
  </si>
  <si>
    <t>30903968</t>
  </si>
  <si>
    <t>30904124</t>
  </si>
  <si>
    <t>22407844</t>
  </si>
  <si>
    <t>22408555</t>
  </si>
  <si>
    <t>30904827</t>
  </si>
  <si>
    <t>30905003</t>
  </si>
  <si>
    <t>50472444C</t>
  </si>
  <si>
    <t>50783192</t>
  </si>
  <si>
    <t>50783226</t>
  </si>
  <si>
    <t>50783277</t>
  </si>
  <si>
    <t>50783338</t>
  </si>
  <si>
    <t>31306370</t>
  </si>
  <si>
    <t>50007823</t>
  </si>
  <si>
    <t>50007915</t>
  </si>
  <si>
    <t>50007917</t>
  </si>
  <si>
    <t>50595780</t>
  </si>
  <si>
    <t>50595781</t>
  </si>
  <si>
    <t>50595786</t>
  </si>
  <si>
    <t>50971337</t>
  </si>
  <si>
    <t>50971362</t>
  </si>
  <si>
    <t>50971430</t>
  </si>
  <si>
    <t>50971447</t>
  </si>
  <si>
    <t>50971472</t>
  </si>
  <si>
    <t>50971473</t>
  </si>
  <si>
    <t>50971489</t>
  </si>
  <si>
    <t>50971495</t>
  </si>
  <si>
    <t>50971508</t>
  </si>
  <si>
    <t>50971548</t>
  </si>
  <si>
    <t>50971582</t>
  </si>
  <si>
    <t>50971597</t>
  </si>
  <si>
    <t>50972456</t>
  </si>
  <si>
    <t>50980589</t>
  </si>
  <si>
    <t>50980660</t>
  </si>
  <si>
    <t>51001414</t>
  </si>
  <si>
    <t>51001798</t>
  </si>
  <si>
    <t>51001805</t>
  </si>
  <si>
    <t>51001807</t>
  </si>
  <si>
    <t>51001808</t>
  </si>
  <si>
    <t>51001880</t>
  </si>
  <si>
    <t>53224428</t>
  </si>
  <si>
    <t>51100211</t>
  </si>
  <si>
    <t>51100213</t>
  </si>
  <si>
    <t>51100214</t>
  </si>
  <si>
    <t>51100215</t>
  </si>
  <si>
    <t>56176442</t>
  </si>
  <si>
    <t>56312189</t>
  </si>
  <si>
    <t>56312255</t>
  </si>
  <si>
    <t>56337009</t>
  </si>
  <si>
    <t>56337561</t>
  </si>
  <si>
    <t>56337748</t>
  </si>
  <si>
    <t>56337749</t>
  </si>
  <si>
    <t>56339785</t>
  </si>
  <si>
    <t>56403075</t>
  </si>
  <si>
    <t>56411442</t>
  </si>
  <si>
    <t>56500073</t>
  </si>
  <si>
    <t>80047538</t>
  </si>
  <si>
    <t>80047539</t>
  </si>
  <si>
    <t>80094241</t>
  </si>
  <si>
    <t>80106148</t>
  </si>
  <si>
    <t>54031493</t>
  </si>
  <si>
    <t>54031586</t>
  </si>
  <si>
    <t>54153806</t>
  </si>
  <si>
    <t>54251006</t>
  </si>
  <si>
    <t>54251035</t>
  </si>
  <si>
    <t>54262990</t>
  </si>
  <si>
    <t>53064100</t>
  </si>
  <si>
    <t>50101497</t>
  </si>
  <si>
    <t>50101587</t>
  </si>
  <si>
    <t>30110815</t>
  </si>
  <si>
    <t>30110841</t>
  </si>
  <si>
    <t>30110847</t>
  </si>
  <si>
    <t>30111177</t>
  </si>
  <si>
    <t>30111284</t>
  </si>
  <si>
    <t>30111362</t>
  </si>
  <si>
    <t>30111364</t>
  </si>
  <si>
    <t>30111366</t>
  </si>
  <si>
    <t>30111378</t>
  </si>
  <si>
    <t>30111379</t>
  </si>
  <si>
    <t>30111382</t>
  </si>
  <si>
    <t>30111385</t>
  </si>
  <si>
    <t>30111388</t>
  </si>
  <si>
    <t>30111389</t>
  </si>
  <si>
    <t>30111409</t>
  </si>
  <si>
    <t>30111410</t>
  </si>
  <si>
    <t>30111412</t>
  </si>
  <si>
    <t>30111437</t>
  </si>
  <si>
    <t>30111461</t>
  </si>
  <si>
    <t>20808595</t>
  </si>
  <si>
    <t>20809408</t>
  </si>
  <si>
    <t>30113463</t>
  </si>
  <si>
    <t>50117330</t>
  </si>
  <si>
    <t>50117890</t>
  </si>
  <si>
    <t>50782862</t>
  </si>
  <si>
    <t>30116172</t>
  </si>
  <si>
    <t>30116214</t>
  </si>
  <si>
    <t>30116312</t>
  </si>
  <si>
    <t>30116338</t>
  </si>
  <si>
    <t>30116560</t>
  </si>
  <si>
    <t>30117097</t>
  </si>
  <si>
    <t>30117221</t>
  </si>
  <si>
    <t>30117701</t>
  </si>
  <si>
    <t>30117775</t>
  </si>
  <si>
    <t>30119202</t>
  </si>
  <si>
    <t>50132745</t>
  </si>
  <si>
    <t>54346862</t>
  </si>
  <si>
    <t>54414314</t>
  </si>
  <si>
    <t>54451151</t>
  </si>
  <si>
    <t>54520157</t>
  </si>
  <si>
    <t>54520386</t>
  </si>
  <si>
    <t>54520408</t>
  </si>
  <si>
    <t>54520511</t>
  </si>
  <si>
    <t>80676894</t>
  </si>
  <si>
    <t>80678537</t>
  </si>
  <si>
    <t>80678538</t>
  </si>
  <si>
    <t>80681871</t>
  </si>
  <si>
    <t>80685880</t>
  </si>
  <si>
    <t>80686258</t>
  </si>
  <si>
    <t>53065350</t>
  </si>
  <si>
    <t>50772911</t>
  </si>
  <si>
    <t>50772930</t>
  </si>
  <si>
    <t>50772996</t>
  </si>
  <si>
    <t>50773003</t>
  </si>
  <si>
    <t>53133662</t>
  </si>
  <si>
    <t>53133802</t>
  </si>
  <si>
    <t>80742781</t>
  </si>
  <si>
    <t>80744109</t>
  </si>
  <si>
    <t>80744186</t>
  </si>
  <si>
    <t>80744301</t>
  </si>
  <si>
    <t>80745604</t>
  </si>
  <si>
    <t>80752373</t>
  </si>
  <si>
    <t>養生．醫學</t>
  </si>
  <si>
    <t>生活．休閒</t>
  </si>
  <si>
    <t>詩詞．戲曲</t>
  </si>
  <si>
    <t>地理．方志</t>
  </si>
  <si>
    <t>建築．考古</t>
  </si>
  <si>
    <t>50872386</t>
  </si>
  <si>
    <t>50872469</t>
  </si>
  <si>
    <t>50872477</t>
  </si>
  <si>
    <t>50900021</t>
  </si>
  <si>
    <t>30803503</t>
  </si>
  <si>
    <t>50342258</t>
  </si>
  <si>
    <t>50342260</t>
  </si>
  <si>
    <t>50342514</t>
  </si>
  <si>
    <t>30805982</t>
  </si>
  <si>
    <t>22106972</t>
  </si>
  <si>
    <t>22106973</t>
  </si>
  <si>
    <t>22106975</t>
  </si>
  <si>
    <t>22106979</t>
  </si>
  <si>
    <t>22106982</t>
  </si>
  <si>
    <t>22106986</t>
  </si>
  <si>
    <t>22108368</t>
  </si>
  <si>
    <t>11007203</t>
  </si>
  <si>
    <t>11007205</t>
  </si>
  <si>
    <t>11131163</t>
  </si>
  <si>
    <t>11206126</t>
  </si>
  <si>
    <t>22408563</t>
  </si>
  <si>
    <t>22408988</t>
  </si>
  <si>
    <t>22409097</t>
  </si>
  <si>
    <t>22409205</t>
  </si>
  <si>
    <t>22409208</t>
  </si>
  <si>
    <t>22409234</t>
  </si>
  <si>
    <t>22409235</t>
  </si>
  <si>
    <t>22603553</t>
  </si>
  <si>
    <t>30905062</t>
  </si>
  <si>
    <t>30905296</t>
  </si>
  <si>
    <t>50541735</t>
  </si>
  <si>
    <t>50541816</t>
  </si>
  <si>
    <t>50542287</t>
  </si>
  <si>
    <t>30907477</t>
  </si>
  <si>
    <t>31001753</t>
  </si>
  <si>
    <t>31003386</t>
  </si>
  <si>
    <t>31003410</t>
  </si>
  <si>
    <t>22815011</t>
  </si>
  <si>
    <t>22815143</t>
  </si>
  <si>
    <t>22815145</t>
  </si>
  <si>
    <t>22815337</t>
  </si>
  <si>
    <t>22870793</t>
  </si>
  <si>
    <t>22901423</t>
  </si>
  <si>
    <t>22901967</t>
  </si>
  <si>
    <t>人民幣                  定價</t>
    <phoneticPr fontId="8" type="noConversion"/>
  </si>
  <si>
    <t>書號</t>
    <phoneticPr fontId="8" type="noConversion"/>
  </si>
  <si>
    <t>書名</t>
    <phoneticPr fontId="8" type="noConversion"/>
  </si>
  <si>
    <t>51003673</t>
  </si>
  <si>
    <t>53707910</t>
  </si>
  <si>
    <t>56096830</t>
  </si>
  <si>
    <t>53052839</t>
  </si>
  <si>
    <t>53052872</t>
  </si>
  <si>
    <t>80170740</t>
  </si>
  <si>
    <t>80175909</t>
  </si>
  <si>
    <t>80190846</t>
  </si>
  <si>
    <t>80206502</t>
  </si>
  <si>
    <t>80213603</t>
  </si>
  <si>
    <t>50093172</t>
  </si>
  <si>
    <t>30109707</t>
  </si>
  <si>
    <t>50101506</t>
  </si>
  <si>
    <t>50101576</t>
  </si>
  <si>
    <t>50101577</t>
  </si>
  <si>
    <t>30111093</t>
  </si>
  <si>
    <t>20806711</t>
  </si>
  <si>
    <t>20806715</t>
  </si>
  <si>
    <t>20807380</t>
  </si>
  <si>
    <t>20808185</t>
  </si>
  <si>
    <t>20808270</t>
  </si>
  <si>
    <t>10105838</t>
  </si>
  <si>
    <t>30113979</t>
  </si>
  <si>
    <t>30113999</t>
  </si>
  <si>
    <t>30114066</t>
  </si>
  <si>
    <t>50123815</t>
  </si>
  <si>
    <t>50124044</t>
  </si>
  <si>
    <t>50130002</t>
  </si>
  <si>
    <t>50130591</t>
  </si>
  <si>
    <t>30115682</t>
  </si>
  <si>
    <t>30115753</t>
  </si>
  <si>
    <t>30115808</t>
  </si>
  <si>
    <t>30115984</t>
  </si>
  <si>
    <t>30116110</t>
  </si>
  <si>
    <t>21203239</t>
  </si>
  <si>
    <t>50132763</t>
  </si>
  <si>
    <t>50132766</t>
  </si>
  <si>
    <t>50132780</t>
  </si>
  <si>
    <t>50132797</t>
  </si>
  <si>
    <t>50133003</t>
  </si>
  <si>
    <t>53065541</t>
  </si>
  <si>
    <t>53065587</t>
  </si>
  <si>
    <t>53065602</t>
  </si>
  <si>
    <t>53095201</t>
  </si>
  <si>
    <t>80713714</t>
  </si>
  <si>
    <t>80715234</t>
  </si>
  <si>
    <t>80715237</t>
  </si>
  <si>
    <t>80723499</t>
  </si>
  <si>
    <t>80727202</t>
  </si>
  <si>
    <t>80727532</t>
  </si>
  <si>
    <t>80727814</t>
  </si>
  <si>
    <t>80727815</t>
  </si>
  <si>
    <t>80729825</t>
  </si>
  <si>
    <t>80729826</t>
  </si>
  <si>
    <t>80736145</t>
  </si>
  <si>
    <t>50836403</t>
  </si>
  <si>
    <t>50845671</t>
  </si>
  <si>
    <t>50847836</t>
  </si>
  <si>
    <t>50847839</t>
  </si>
  <si>
    <t>50847858</t>
  </si>
  <si>
    <t>50850542</t>
  </si>
  <si>
    <t>50850807</t>
  </si>
  <si>
    <t>50871468</t>
  </si>
  <si>
    <t>50322525</t>
  </si>
  <si>
    <t>50322644</t>
  </si>
  <si>
    <t>30707573</t>
  </si>
  <si>
    <t>21906582</t>
  </si>
  <si>
    <t>22007010</t>
  </si>
  <si>
    <t>22007382</t>
  </si>
  <si>
    <t>10802877</t>
  </si>
  <si>
    <t>10802916</t>
  </si>
  <si>
    <t>03023803</t>
  </si>
  <si>
    <t>10802976</t>
  </si>
  <si>
    <t>10803045</t>
  </si>
  <si>
    <t>10803138</t>
  </si>
  <si>
    <t>10803226</t>
  </si>
  <si>
    <t>10803346</t>
  </si>
  <si>
    <t>11207122</t>
  </si>
  <si>
    <t>11207529</t>
  </si>
  <si>
    <t>22702525</t>
  </si>
  <si>
    <t>22702526</t>
  </si>
  <si>
    <t>30906445</t>
  </si>
  <si>
    <t>30906483</t>
  </si>
  <si>
    <t>30906604</t>
  </si>
  <si>
    <t>30906894</t>
  </si>
  <si>
    <t>30906896</t>
  </si>
  <si>
    <t>22814094</t>
  </si>
  <si>
    <t>22814099</t>
  </si>
  <si>
    <t>22814110</t>
  </si>
  <si>
    <t>11906400</t>
  </si>
  <si>
    <t>50602563</t>
  </si>
  <si>
    <t>53475339</t>
  </si>
  <si>
    <t>53475717</t>
  </si>
  <si>
    <t>53475807</t>
  </si>
  <si>
    <t>53483013</t>
  </si>
  <si>
    <t>53544113</t>
  </si>
  <si>
    <t>53544405</t>
  </si>
  <si>
    <t>53576126</t>
  </si>
  <si>
    <t>53605831</t>
  </si>
  <si>
    <t>53624267</t>
  </si>
  <si>
    <t>54750060</t>
  </si>
  <si>
    <t>54750069</t>
  </si>
  <si>
    <t>55152041</t>
  </si>
  <si>
    <t>53052765</t>
  </si>
  <si>
    <t>50629121</t>
  </si>
  <si>
    <t>50629518</t>
  </si>
  <si>
    <t>50629594</t>
  </si>
  <si>
    <t>50629726</t>
  </si>
  <si>
    <t>53052974</t>
  </si>
  <si>
    <t>53052974A</t>
  </si>
  <si>
    <t>50634573</t>
  </si>
  <si>
    <t>50643338</t>
  </si>
  <si>
    <t>50084275</t>
  </si>
  <si>
    <t>50084536</t>
  </si>
  <si>
    <t>50084537</t>
  </si>
  <si>
    <t>30108424</t>
  </si>
  <si>
    <t>20806150</t>
  </si>
  <si>
    <t>10105540</t>
  </si>
  <si>
    <t>10105550</t>
  </si>
  <si>
    <t>10105554</t>
  </si>
  <si>
    <t>10105614</t>
  </si>
  <si>
    <t>20904078</t>
  </si>
  <si>
    <t>20904171</t>
  </si>
  <si>
    <t>20904191</t>
  </si>
  <si>
    <t>20904220</t>
  </si>
  <si>
    <t>20904230</t>
  </si>
  <si>
    <t>30114745</t>
  </si>
  <si>
    <t>30114766</t>
  </si>
  <si>
    <t>30115069</t>
  </si>
  <si>
    <t>30115087</t>
  </si>
  <si>
    <t>30115151</t>
  </si>
  <si>
    <t>30115196</t>
  </si>
  <si>
    <t>30115253</t>
  </si>
  <si>
    <t>30115426</t>
  </si>
  <si>
    <t>30115442</t>
  </si>
  <si>
    <t>30115490</t>
  </si>
  <si>
    <t>30115558</t>
  </si>
  <si>
    <t>21104983</t>
  </si>
  <si>
    <t>10106619</t>
  </si>
  <si>
    <t>10106631</t>
  </si>
  <si>
    <t>10106872</t>
  </si>
  <si>
    <t>10106874</t>
  </si>
  <si>
    <t>10106880</t>
  </si>
  <si>
    <t>10106954</t>
  </si>
  <si>
    <t>30220339</t>
  </si>
  <si>
    <t>50133124</t>
  </si>
  <si>
    <t>50133160</t>
  </si>
  <si>
    <t>50133171</t>
  </si>
  <si>
    <t>53238148</t>
  </si>
  <si>
    <t>53238303</t>
  </si>
  <si>
    <t>80686721</t>
  </si>
  <si>
    <t>80702672</t>
  </si>
  <si>
    <t>50805953</t>
  </si>
  <si>
    <t>50805959</t>
  </si>
  <si>
    <t>50806090</t>
  </si>
  <si>
    <t>50175518</t>
  </si>
  <si>
    <t>50179173</t>
  </si>
  <si>
    <t>50179410</t>
  </si>
  <si>
    <t>50179598</t>
  </si>
  <si>
    <t>50195090</t>
  </si>
  <si>
    <t>50860999</t>
  </si>
  <si>
    <t>50862273</t>
  </si>
  <si>
    <t>50871042</t>
  </si>
  <si>
    <t>30706878</t>
  </si>
  <si>
    <t>30706973</t>
  </si>
  <si>
    <t>30706975</t>
  </si>
  <si>
    <t>21806703</t>
  </si>
  <si>
    <t>21806828</t>
  </si>
  <si>
    <t>10802559</t>
  </si>
  <si>
    <t>02008085</t>
  </si>
  <si>
    <t>03019623</t>
  </si>
  <si>
    <t>03023853</t>
  </si>
  <si>
    <t>03026295</t>
  </si>
  <si>
    <t>03026905</t>
  </si>
  <si>
    <t>04016481</t>
  </si>
  <si>
    <t>04028290</t>
  </si>
  <si>
    <t>11309049</t>
  </si>
  <si>
    <t>11516181</t>
  </si>
  <si>
    <t>22812344</t>
  </si>
  <si>
    <t>22812778</t>
  </si>
  <si>
    <t>22812787</t>
  </si>
  <si>
    <t>22814069</t>
  </si>
  <si>
    <t>11903155</t>
  </si>
  <si>
    <t>10006082</t>
  </si>
  <si>
    <t>10006190</t>
  </si>
  <si>
    <t>10006210</t>
  </si>
  <si>
    <t>10006624</t>
  </si>
  <si>
    <t>10006711</t>
  </si>
  <si>
    <t>10006778</t>
  </si>
  <si>
    <t>10006928</t>
  </si>
  <si>
    <t>30005121</t>
  </si>
  <si>
    <t>30005683</t>
  </si>
  <si>
    <t>54580167</t>
  </si>
  <si>
    <t>54633700</t>
  </si>
  <si>
    <t>54660077</t>
  </si>
  <si>
    <t>54660268</t>
  </si>
  <si>
    <t>54661094</t>
  </si>
  <si>
    <t>54661124</t>
  </si>
  <si>
    <t>54661460</t>
  </si>
  <si>
    <t>54690975</t>
  </si>
  <si>
    <t>54691508</t>
  </si>
  <si>
    <t>54691564</t>
  </si>
  <si>
    <t>54691902</t>
  </si>
  <si>
    <t>54692002</t>
  </si>
  <si>
    <t>54692028</t>
  </si>
  <si>
    <t>54692168</t>
  </si>
  <si>
    <t>54692231</t>
  </si>
  <si>
    <t>54692232</t>
  </si>
  <si>
    <t>54692233</t>
  </si>
  <si>
    <t>54692234</t>
  </si>
  <si>
    <t>54692235</t>
  </si>
  <si>
    <t>54692236</t>
  </si>
  <si>
    <t>54692237</t>
  </si>
  <si>
    <t>54692510</t>
  </si>
  <si>
    <t>54692511</t>
  </si>
  <si>
    <t>54692512</t>
  </si>
  <si>
    <t>54692514</t>
  </si>
  <si>
    <t>54692666</t>
  </si>
  <si>
    <t>54692668</t>
  </si>
  <si>
    <t>54692673</t>
  </si>
  <si>
    <t>54700353</t>
  </si>
  <si>
    <t>53052712</t>
  </si>
  <si>
    <t>53052717</t>
  </si>
  <si>
    <t>53052717A</t>
  </si>
  <si>
    <t>53052723</t>
  </si>
  <si>
    <t>53052726</t>
  </si>
  <si>
    <t>53052732</t>
  </si>
  <si>
    <t>53052735</t>
  </si>
  <si>
    <t>53052739</t>
  </si>
  <si>
    <t>50048130</t>
  </si>
  <si>
    <t>50048194</t>
  </si>
  <si>
    <t>50048204</t>
  </si>
  <si>
    <t>50048269</t>
  </si>
  <si>
    <t>50048319</t>
  </si>
  <si>
    <t>50048428</t>
  </si>
  <si>
    <t>50048478</t>
  </si>
  <si>
    <t>50048747</t>
  </si>
  <si>
    <t>50048761</t>
  </si>
  <si>
    <t>50048840</t>
  </si>
  <si>
    <t>50049341</t>
  </si>
  <si>
    <t>50059431</t>
  </si>
  <si>
    <t>50633845</t>
  </si>
  <si>
    <t>50633846</t>
  </si>
  <si>
    <t>50068336</t>
  </si>
  <si>
    <t>50068343</t>
  </si>
  <si>
    <t>50068408</t>
  </si>
  <si>
    <t>50068417</t>
  </si>
  <si>
    <t>50068419</t>
  </si>
  <si>
    <t>50068455</t>
  </si>
  <si>
    <t>50068615</t>
  </si>
  <si>
    <t>30107983</t>
  </si>
  <si>
    <t>20606814</t>
  </si>
  <si>
    <t>20706490</t>
  </si>
  <si>
    <t>20706574</t>
  </si>
  <si>
    <t>20904256</t>
  </si>
  <si>
    <t>20904467</t>
  </si>
  <si>
    <t>20904642</t>
  </si>
  <si>
    <t>20904747</t>
  </si>
  <si>
    <t>20905078</t>
  </si>
  <si>
    <t>20905080</t>
  </si>
  <si>
    <t>20905107</t>
  </si>
  <si>
    <t>10106429</t>
  </si>
  <si>
    <t>21302555</t>
  </si>
  <si>
    <t>21302809</t>
  </si>
  <si>
    <t>30309866</t>
  </si>
  <si>
    <t>30309868</t>
  </si>
  <si>
    <t>30309869</t>
  </si>
  <si>
    <t>50133182</t>
  </si>
  <si>
    <t>53239699</t>
  </si>
  <si>
    <t>50805690</t>
  </si>
  <si>
    <t>30505616</t>
  </si>
  <si>
    <t>30704473</t>
  </si>
  <si>
    <t>30704484</t>
  </si>
  <si>
    <t>21805442</t>
  </si>
  <si>
    <t>21805482</t>
  </si>
  <si>
    <t>21805736</t>
  </si>
  <si>
    <t>21806197</t>
  </si>
  <si>
    <t>21806393</t>
  </si>
  <si>
    <t>21806411</t>
  </si>
  <si>
    <t>21806572</t>
  </si>
  <si>
    <t>02005947</t>
  </si>
  <si>
    <t>02005993</t>
  </si>
  <si>
    <t>02006013</t>
  </si>
  <si>
    <t>02006571</t>
  </si>
  <si>
    <t>02007708</t>
  </si>
  <si>
    <t>02007990</t>
  </si>
  <si>
    <t>11522969</t>
  </si>
  <si>
    <t>11710162</t>
  </si>
  <si>
    <t>11710163</t>
  </si>
  <si>
    <t>11710164</t>
  </si>
  <si>
    <t>11710173</t>
  </si>
  <si>
    <t>11710174</t>
  </si>
  <si>
    <t>11710175</t>
  </si>
  <si>
    <t>11710184</t>
  </si>
  <si>
    <t>11710185</t>
  </si>
  <si>
    <t>11710186</t>
  </si>
  <si>
    <t>10005574</t>
  </si>
  <si>
    <t>10005710</t>
  </si>
  <si>
    <t>10005770</t>
  </si>
  <si>
    <t>53331417</t>
  </si>
  <si>
    <t>53331652</t>
  </si>
  <si>
    <t>53331759</t>
  </si>
  <si>
    <t>53331863</t>
  </si>
  <si>
    <t>53332119</t>
  </si>
  <si>
    <t>53332145</t>
  </si>
  <si>
    <t>53332146</t>
  </si>
  <si>
    <t>53332147</t>
  </si>
  <si>
    <t>53332149</t>
  </si>
  <si>
    <t>53332150</t>
  </si>
  <si>
    <t>53332157</t>
  </si>
  <si>
    <t>53332198</t>
  </si>
  <si>
    <t>53332239</t>
  </si>
  <si>
    <t>53332242</t>
  </si>
  <si>
    <t>53332246</t>
  </si>
  <si>
    <t>53332251</t>
  </si>
  <si>
    <t>53332256</t>
  </si>
  <si>
    <t>53332280</t>
  </si>
  <si>
    <t>53332283</t>
  </si>
  <si>
    <t>53332298</t>
  </si>
  <si>
    <t>53352036</t>
  </si>
  <si>
    <t>53364309</t>
  </si>
  <si>
    <t>53364359</t>
  </si>
  <si>
    <t>53411457</t>
  </si>
  <si>
    <t>53437945</t>
  </si>
  <si>
    <t>53473829</t>
  </si>
  <si>
    <t>53475034</t>
  </si>
  <si>
    <t>53475102</t>
  </si>
  <si>
    <t>53475677</t>
  </si>
  <si>
    <t>53475696</t>
  </si>
  <si>
    <t>53475702</t>
  </si>
  <si>
    <t>53475743</t>
  </si>
  <si>
    <t>53475860</t>
  </si>
  <si>
    <t>53482591</t>
  </si>
  <si>
    <t>53482773</t>
  </si>
  <si>
    <t>53482774</t>
  </si>
  <si>
    <t>53482775</t>
  </si>
  <si>
    <t>53482776</t>
  </si>
  <si>
    <t>53482777</t>
  </si>
  <si>
    <t>53483155</t>
  </si>
  <si>
    <t>53483215</t>
  </si>
  <si>
    <t>53543423</t>
  </si>
  <si>
    <t>53543510</t>
  </si>
  <si>
    <t>53543659</t>
  </si>
  <si>
    <t>53543770</t>
  </si>
  <si>
    <t>53543858</t>
  </si>
  <si>
    <t>53544254</t>
  </si>
  <si>
    <t>53554817</t>
  </si>
  <si>
    <t>53562583</t>
  </si>
  <si>
    <t>53563414</t>
  </si>
  <si>
    <t>53583856</t>
  </si>
  <si>
    <t>53583857</t>
  </si>
  <si>
    <t>53623780</t>
  </si>
  <si>
    <t>53664970</t>
  </si>
  <si>
    <t>53669076</t>
  </si>
  <si>
    <t>53669170</t>
  </si>
  <si>
    <t>53669426</t>
  </si>
  <si>
    <t>53715520</t>
  </si>
  <si>
    <t>53828966</t>
  </si>
  <si>
    <t>53872341</t>
  </si>
  <si>
    <t>53872386</t>
  </si>
  <si>
    <t>53872560</t>
  </si>
  <si>
    <t>53885095</t>
  </si>
  <si>
    <t>53943106</t>
  </si>
  <si>
    <t>53962663</t>
  </si>
  <si>
    <t>53973416</t>
  </si>
  <si>
    <t>53992462</t>
  </si>
  <si>
    <t>53992635</t>
  </si>
  <si>
    <t>53992834</t>
  </si>
  <si>
    <t>53993000</t>
  </si>
  <si>
    <t>53993166</t>
  </si>
  <si>
    <t>53993295</t>
  </si>
  <si>
    <t>54012043</t>
  </si>
  <si>
    <t>54021775</t>
  </si>
  <si>
    <t>54021914A</t>
  </si>
  <si>
    <t>54021914C</t>
  </si>
  <si>
    <t>54022048B</t>
  </si>
  <si>
    <t>54022048F</t>
  </si>
  <si>
    <t>54031585</t>
  </si>
  <si>
    <t>54031587</t>
  </si>
  <si>
    <t>54044128</t>
  </si>
  <si>
    <t>54044192</t>
  </si>
  <si>
    <t>54067720</t>
  </si>
  <si>
    <t>54067721</t>
  </si>
  <si>
    <t>54102679</t>
  </si>
  <si>
    <t>54102804</t>
  </si>
  <si>
    <t>54102837</t>
  </si>
  <si>
    <t>54103048</t>
  </si>
  <si>
    <t>54103081</t>
  </si>
  <si>
    <t>54103104</t>
  </si>
  <si>
    <t>54103105</t>
  </si>
  <si>
    <t>54112245</t>
  </si>
  <si>
    <t>54153489</t>
  </si>
  <si>
    <t>54181216</t>
  </si>
  <si>
    <t>54181216B</t>
  </si>
  <si>
    <t>54262508</t>
  </si>
  <si>
    <t>54263281</t>
  </si>
  <si>
    <t>54263567</t>
  </si>
  <si>
    <t>54302676</t>
  </si>
  <si>
    <t>54302678</t>
  </si>
  <si>
    <t>54302679</t>
  </si>
  <si>
    <t>54303566A</t>
  </si>
  <si>
    <t>54303973</t>
  </si>
  <si>
    <t>54321215</t>
  </si>
  <si>
    <t>53052622</t>
  </si>
  <si>
    <t>53052664</t>
  </si>
  <si>
    <t>53052682</t>
  </si>
  <si>
    <t>53052682A</t>
  </si>
  <si>
    <t>53052682B</t>
  </si>
  <si>
    <t>53052682C</t>
  </si>
  <si>
    <t>53052682D</t>
  </si>
  <si>
    <t>53052682E</t>
  </si>
  <si>
    <t>53052682F</t>
  </si>
  <si>
    <t>53052682G</t>
  </si>
  <si>
    <t>53052683B</t>
  </si>
  <si>
    <t>53052683C</t>
  </si>
  <si>
    <t>50603827</t>
  </si>
  <si>
    <t>50603828</t>
  </si>
  <si>
    <t>50603835</t>
  </si>
  <si>
    <t>50047642</t>
  </si>
  <si>
    <t>50047643</t>
  </si>
  <si>
    <t>50047729</t>
  </si>
  <si>
    <t>30013619</t>
  </si>
  <si>
    <t>30013650</t>
  </si>
  <si>
    <t>30013651</t>
  </si>
  <si>
    <t>30013652</t>
  </si>
  <si>
    <t>30101498</t>
  </si>
  <si>
    <t>30102516</t>
  </si>
  <si>
    <t>30102522</t>
  </si>
  <si>
    <t>30102523</t>
  </si>
  <si>
    <t>30102524</t>
  </si>
  <si>
    <t>30102525</t>
  </si>
  <si>
    <t>50065710</t>
  </si>
  <si>
    <t>10106237</t>
  </si>
  <si>
    <t>10106295</t>
  </si>
  <si>
    <t>10106304</t>
  </si>
  <si>
    <t>10106316</t>
  </si>
  <si>
    <t>10106360</t>
  </si>
  <si>
    <t>10106403</t>
  </si>
  <si>
    <t>10106407</t>
  </si>
  <si>
    <t>出版社</t>
  </si>
  <si>
    <t>10107003</t>
  </si>
  <si>
    <t>50133977</t>
  </si>
  <si>
    <t>50134090</t>
  </si>
  <si>
    <t>50134203</t>
  </si>
  <si>
    <t>50134571</t>
  </si>
  <si>
    <t>30503812</t>
  </si>
  <si>
    <t>30503812B</t>
  </si>
  <si>
    <t>30503812C</t>
  </si>
  <si>
    <t>21404226</t>
  </si>
  <si>
    <t>21404228</t>
  </si>
  <si>
    <t>21404229</t>
  </si>
  <si>
    <t>21404233</t>
  </si>
  <si>
    <t>21404240</t>
  </si>
  <si>
    <t>21404242</t>
  </si>
  <si>
    <t>21404244</t>
  </si>
  <si>
    <t>21404245</t>
  </si>
  <si>
    <t>21405256</t>
  </si>
  <si>
    <t>21405693</t>
  </si>
  <si>
    <t>21405760</t>
  </si>
  <si>
    <t>21405763</t>
  </si>
  <si>
    <t>30505999</t>
  </si>
  <si>
    <t>30506795</t>
  </si>
  <si>
    <t>21805078</t>
  </si>
  <si>
    <t>21805102</t>
  </si>
  <si>
    <t>21805433</t>
  </si>
  <si>
    <t>02005040</t>
  </si>
  <si>
    <t>02005042</t>
  </si>
  <si>
    <t>02005043</t>
  </si>
  <si>
    <t>02005044</t>
  </si>
  <si>
    <t>02005045</t>
  </si>
  <si>
    <t>02005046</t>
  </si>
  <si>
    <t>02007607</t>
  </si>
  <si>
    <t>10004643</t>
  </si>
  <si>
    <t>10005088</t>
  </si>
  <si>
    <t>10005328</t>
  </si>
  <si>
    <t>10005489</t>
  </si>
  <si>
    <t>10005491</t>
  </si>
  <si>
    <t>53254267</t>
  </si>
  <si>
    <t>53254290</t>
  </si>
  <si>
    <t>53254361</t>
  </si>
  <si>
    <t>53254387</t>
  </si>
  <si>
    <t>53254701</t>
  </si>
  <si>
    <t>53254920</t>
  </si>
  <si>
    <t>53254928</t>
  </si>
  <si>
    <t>53254939</t>
  </si>
  <si>
    <t>53254943</t>
  </si>
  <si>
    <t>53255085</t>
  </si>
  <si>
    <t>53255118</t>
  </si>
  <si>
    <t>53255298</t>
  </si>
  <si>
    <t>53255305</t>
  </si>
  <si>
    <t>53255512</t>
  </si>
  <si>
    <t>53255687</t>
  </si>
  <si>
    <t>53256056</t>
  </si>
  <si>
    <t>53263017</t>
  </si>
  <si>
    <t>53273738</t>
  </si>
  <si>
    <t>53273739</t>
  </si>
  <si>
    <t>53273740</t>
  </si>
  <si>
    <t>53274880</t>
  </si>
  <si>
    <t>53301990</t>
  </si>
  <si>
    <t>53302012</t>
  </si>
  <si>
    <t>53302119</t>
  </si>
  <si>
    <t>53330926A</t>
  </si>
  <si>
    <t>53330926B</t>
  </si>
  <si>
    <t>53330926C</t>
  </si>
  <si>
    <t>53330926D</t>
  </si>
  <si>
    <t>53330926E</t>
  </si>
  <si>
    <t>53330926F</t>
  </si>
  <si>
    <t>54332106</t>
  </si>
  <si>
    <t>54345048</t>
  </si>
  <si>
    <t>54345049</t>
  </si>
  <si>
    <t>54345050</t>
  </si>
  <si>
    <t>54345053</t>
  </si>
  <si>
    <t>54345054</t>
  </si>
  <si>
    <t>54345056</t>
  </si>
  <si>
    <t>54345059</t>
  </si>
  <si>
    <t>54345631</t>
  </si>
  <si>
    <t>54345671</t>
  </si>
  <si>
    <t>54385892</t>
  </si>
  <si>
    <t>54386022</t>
  </si>
  <si>
    <t>54386618</t>
  </si>
  <si>
    <t>54404116</t>
  </si>
  <si>
    <t>54404127</t>
  </si>
  <si>
    <t>54404128</t>
  </si>
  <si>
    <t>54424391</t>
  </si>
  <si>
    <t>50603475</t>
  </si>
  <si>
    <t>50046206</t>
  </si>
  <si>
    <t>50046871</t>
  </si>
  <si>
    <t>50047501</t>
  </si>
  <si>
    <t>30011351</t>
  </si>
  <si>
    <t>30011353</t>
  </si>
  <si>
    <t>30011355</t>
  </si>
  <si>
    <t>20105782</t>
  </si>
  <si>
    <t>20105909</t>
  </si>
  <si>
    <t>20106199</t>
  </si>
  <si>
    <t>20106342</t>
  </si>
  <si>
    <t>20305265A</t>
  </si>
  <si>
    <t>20305266A</t>
  </si>
  <si>
    <t>20305266C</t>
  </si>
  <si>
    <t>20306604</t>
  </si>
  <si>
    <t>30106043</t>
  </si>
  <si>
    <t>30106481</t>
  </si>
  <si>
    <t>20506695</t>
  </si>
  <si>
    <t>20506704</t>
  </si>
  <si>
    <t>20506772</t>
  </si>
  <si>
    <t>00931200</t>
  </si>
  <si>
    <t>00931200A</t>
  </si>
  <si>
    <t>00931200B</t>
  </si>
  <si>
    <t>10107116</t>
  </si>
  <si>
    <t>10107126</t>
  </si>
  <si>
    <t>30310592</t>
  </si>
  <si>
    <t>30310868</t>
  </si>
  <si>
    <t>50133359</t>
  </si>
  <si>
    <t>50133435</t>
  </si>
  <si>
    <t>50133640</t>
  </si>
  <si>
    <t>50133648</t>
  </si>
  <si>
    <t>50133825</t>
  </si>
  <si>
    <t>10403260</t>
  </si>
  <si>
    <t>10403268</t>
  </si>
  <si>
    <t>10506781</t>
  </si>
  <si>
    <t>10510450</t>
  </si>
  <si>
    <t>10602547</t>
  </si>
  <si>
    <t>10602580</t>
  </si>
  <si>
    <t>10602777</t>
  </si>
  <si>
    <t>21505819</t>
  </si>
  <si>
    <t>21505904</t>
  </si>
  <si>
    <t>21606022</t>
  </si>
  <si>
    <t>21606826</t>
  </si>
  <si>
    <t>21804105</t>
  </si>
  <si>
    <t>21804274</t>
  </si>
  <si>
    <t>02004641</t>
  </si>
  <si>
    <t>02004673</t>
  </si>
  <si>
    <t>02004708</t>
  </si>
  <si>
    <t>02004755</t>
  </si>
  <si>
    <t>02004872</t>
  </si>
  <si>
    <t>54442029</t>
  </si>
  <si>
    <t>54443561</t>
  </si>
  <si>
    <t>54450362</t>
  </si>
  <si>
    <t>54450693</t>
  </si>
  <si>
    <t>54550094</t>
  </si>
  <si>
    <t>54610188</t>
  </si>
  <si>
    <t>54610838</t>
  </si>
  <si>
    <t>54630748</t>
  </si>
  <si>
    <t>54632309</t>
  </si>
  <si>
    <t>54632310</t>
  </si>
  <si>
    <t>54632809</t>
  </si>
  <si>
    <t>54660929</t>
  </si>
  <si>
    <t>54691436</t>
  </si>
  <si>
    <t>54720336</t>
  </si>
  <si>
    <t>54730045</t>
  </si>
  <si>
    <t>54730400</t>
  </si>
  <si>
    <t>54730416</t>
  </si>
  <si>
    <t>54750061</t>
  </si>
  <si>
    <t>54750062</t>
  </si>
  <si>
    <t>54750063</t>
  </si>
  <si>
    <t>54750065</t>
  </si>
  <si>
    <t>54750068</t>
  </si>
  <si>
    <t>54750070</t>
  </si>
  <si>
    <t>54750071</t>
  </si>
  <si>
    <t>54880135</t>
  </si>
  <si>
    <t>54880171</t>
  </si>
  <si>
    <t>54880231</t>
  </si>
  <si>
    <t>56006723</t>
  </si>
  <si>
    <t>56053380</t>
  </si>
  <si>
    <t>56071493</t>
  </si>
  <si>
    <t>56072213</t>
  </si>
  <si>
    <t>56083204</t>
  </si>
  <si>
    <t>56094499</t>
  </si>
  <si>
    <t>56133783</t>
  </si>
  <si>
    <t>56134519</t>
  </si>
  <si>
    <t>56172042</t>
  </si>
  <si>
    <t>56172331</t>
  </si>
  <si>
    <t>56174339</t>
  </si>
  <si>
    <t>56174364</t>
  </si>
  <si>
    <t>56174520</t>
  </si>
  <si>
    <t>56174521</t>
  </si>
  <si>
    <t>56174545</t>
  </si>
  <si>
    <t>56174546</t>
  </si>
  <si>
    <t>56174553</t>
  </si>
  <si>
    <t>56174590</t>
  </si>
  <si>
    <t>56174614</t>
  </si>
  <si>
    <t>56174816</t>
  </si>
  <si>
    <t>56213092</t>
  </si>
  <si>
    <t>56213297</t>
  </si>
  <si>
    <t>56245232</t>
  </si>
  <si>
    <t>56245300</t>
  </si>
  <si>
    <t>56312082</t>
  </si>
  <si>
    <t>56312093</t>
  </si>
  <si>
    <t>56333881</t>
  </si>
  <si>
    <t>56335533</t>
  </si>
  <si>
    <t>56335840</t>
  </si>
  <si>
    <t>56336145</t>
  </si>
  <si>
    <t>56336332</t>
  </si>
  <si>
    <t>56336611</t>
  </si>
  <si>
    <t>56336626</t>
  </si>
  <si>
    <t>56337564</t>
  </si>
  <si>
    <t>56337727</t>
  </si>
  <si>
    <t>56337747</t>
  </si>
  <si>
    <t>56337767</t>
  </si>
  <si>
    <t>56337768</t>
  </si>
  <si>
    <t>56338282</t>
  </si>
  <si>
    <t>56338466</t>
  </si>
  <si>
    <t>56339019</t>
  </si>
  <si>
    <t>56339419</t>
  </si>
  <si>
    <t>56339782</t>
  </si>
  <si>
    <t>56339793</t>
  </si>
  <si>
    <t>56339863</t>
  </si>
  <si>
    <t>56371288</t>
  </si>
  <si>
    <t>56371297</t>
  </si>
  <si>
    <t>56392196</t>
  </si>
  <si>
    <t>56392417</t>
  </si>
  <si>
    <t>30007625</t>
  </si>
  <si>
    <t>30007766</t>
  </si>
  <si>
    <t>50045485</t>
  </si>
  <si>
    <t>30010113</t>
  </si>
  <si>
    <t>30010203</t>
  </si>
  <si>
    <t>30010204</t>
  </si>
  <si>
    <t>30010205</t>
  </si>
  <si>
    <t>30010247</t>
  </si>
  <si>
    <t>30010298</t>
  </si>
  <si>
    <t>30010379</t>
  </si>
  <si>
    <t>30010508</t>
  </si>
  <si>
    <t>30010864</t>
  </si>
  <si>
    <t>10104266</t>
  </si>
  <si>
    <t>21303521</t>
  </si>
  <si>
    <t>21403985</t>
  </si>
  <si>
    <t>21403986</t>
  </si>
  <si>
    <t>21404002</t>
  </si>
  <si>
    <t>21404022</t>
  </si>
  <si>
    <t>21404025</t>
  </si>
  <si>
    <t>21404026</t>
  </si>
  <si>
    <t>10402209</t>
  </si>
  <si>
    <t>10402544</t>
  </si>
  <si>
    <t>10402802</t>
  </si>
  <si>
    <t>01008876</t>
  </si>
  <si>
    <t>01009963</t>
  </si>
  <si>
    <t>02003096</t>
  </si>
  <si>
    <t>02003346</t>
  </si>
  <si>
    <t>02004597</t>
  </si>
  <si>
    <t>56392418</t>
  </si>
  <si>
    <t>56412205</t>
  </si>
  <si>
    <t>60101320</t>
  </si>
  <si>
    <t>73011483</t>
  </si>
  <si>
    <t>80047793</t>
  </si>
  <si>
    <t>80047825</t>
  </si>
  <si>
    <t>80047844</t>
  </si>
  <si>
    <t>80047852</t>
  </si>
  <si>
    <t>80047901</t>
  </si>
  <si>
    <t>80060266</t>
  </si>
  <si>
    <t>80060378</t>
  </si>
  <si>
    <t>80060424</t>
  </si>
  <si>
    <t>80080889</t>
  </si>
  <si>
    <t>80080894</t>
  </si>
  <si>
    <t>80080907</t>
  </si>
  <si>
    <t>80080935</t>
  </si>
  <si>
    <t>80080989</t>
  </si>
  <si>
    <t>80106240</t>
  </si>
  <si>
    <t>80140577</t>
  </si>
  <si>
    <t>80145921</t>
  </si>
  <si>
    <t>80145946</t>
  </si>
  <si>
    <t>80170824</t>
  </si>
  <si>
    <t>80170836</t>
  </si>
  <si>
    <t>80170853</t>
  </si>
  <si>
    <t>80170878</t>
  </si>
  <si>
    <t>80173854</t>
  </si>
  <si>
    <t>80178322</t>
  </si>
  <si>
    <t>80186406</t>
  </si>
  <si>
    <t>80186480</t>
  </si>
  <si>
    <t>80186551</t>
  </si>
  <si>
    <t>80186892</t>
  </si>
  <si>
    <t>80186908</t>
  </si>
  <si>
    <t>80186980</t>
  </si>
  <si>
    <t>80186994</t>
  </si>
  <si>
    <t>80188394</t>
  </si>
  <si>
    <t>80195794</t>
  </si>
  <si>
    <t>80195813</t>
  </si>
  <si>
    <t>80195921</t>
  </si>
  <si>
    <t>80199870</t>
  </si>
  <si>
    <t>80204619</t>
  </si>
  <si>
    <t>80206559</t>
  </si>
  <si>
    <t>80208534</t>
  </si>
  <si>
    <t>80208535</t>
  </si>
  <si>
    <t>80210626</t>
  </si>
  <si>
    <t>80210630</t>
  </si>
  <si>
    <t>80210633</t>
  </si>
  <si>
    <t>80210640</t>
  </si>
  <si>
    <t>80211801</t>
  </si>
  <si>
    <t>80211803</t>
  </si>
  <si>
    <t>80211807</t>
  </si>
  <si>
    <t>80214383B</t>
  </si>
  <si>
    <t>80216600</t>
  </si>
  <si>
    <t>80219643</t>
  </si>
  <si>
    <t>30008198</t>
  </si>
  <si>
    <t>30008199</t>
  </si>
  <si>
    <t>30009194</t>
  </si>
  <si>
    <t>30009195</t>
  </si>
  <si>
    <t>30009259</t>
  </si>
  <si>
    <t>30009849</t>
  </si>
  <si>
    <t>20102465</t>
  </si>
  <si>
    <t>20104675</t>
  </si>
  <si>
    <t>10102707</t>
  </si>
  <si>
    <t>10103861</t>
  </si>
  <si>
    <t>10103968</t>
  </si>
  <si>
    <t>21304123</t>
  </si>
  <si>
    <t>21304124</t>
  </si>
  <si>
    <t>21304125</t>
  </si>
  <si>
    <t>21402823</t>
  </si>
  <si>
    <t>01008551</t>
  </si>
  <si>
    <t>01008602</t>
  </si>
  <si>
    <t>01008698</t>
  </si>
  <si>
    <t>02003843</t>
  </si>
  <si>
    <t>02004414</t>
  </si>
  <si>
    <t>02004415</t>
  </si>
  <si>
    <t>02004479</t>
  </si>
  <si>
    <t>80222519</t>
  </si>
  <si>
    <t>80223325</t>
  </si>
  <si>
    <t>80223371</t>
  </si>
  <si>
    <t>80225875</t>
  </si>
  <si>
    <t>80228490</t>
  </si>
  <si>
    <t>80228599</t>
  </si>
  <si>
    <t>80230124</t>
  </si>
  <si>
    <t>80230181</t>
  </si>
  <si>
    <t>80230911</t>
  </si>
  <si>
    <t>80232194</t>
  </si>
  <si>
    <t>80243444</t>
  </si>
  <si>
    <t>80244096</t>
  </si>
  <si>
    <t>80244137</t>
  </si>
  <si>
    <t>80244212</t>
  </si>
  <si>
    <t>80244419</t>
  </si>
  <si>
    <t>80244420</t>
  </si>
  <si>
    <t>80244421</t>
  </si>
  <si>
    <t>80244535</t>
  </si>
  <si>
    <t>80244536</t>
  </si>
  <si>
    <t>10108220</t>
  </si>
  <si>
    <t>01007044</t>
  </si>
  <si>
    <t>01007103</t>
  </si>
  <si>
    <t>01007539</t>
  </si>
  <si>
    <t>01007908</t>
  </si>
  <si>
    <t>80244605</t>
  </si>
  <si>
    <t>80244627</t>
  </si>
  <si>
    <t>80244645</t>
  </si>
  <si>
    <t>80244658</t>
  </si>
  <si>
    <t>80247614</t>
  </si>
  <si>
    <t>80251434</t>
  </si>
  <si>
    <t>80252196</t>
  </si>
  <si>
    <t>80504717</t>
  </si>
  <si>
    <t>80517103</t>
  </si>
  <si>
    <t>80526536</t>
  </si>
  <si>
    <t>80526650</t>
  </si>
  <si>
    <t>80526901</t>
  </si>
  <si>
    <t>80526901A</t>
  </si>
  <si>
    <t>80526901B</t>
  </si>
  <si>
    <t>80564873J</t>
  </si>
  <si>
    <t>80568494</t>
  </si>
  <si>
    <t>80588606</t>
  </si>
  <si>
    <t>80588628</t>
  </si>
  <si>
    <t>80588629</t>
  </si>
  <si>
    <t>80588632</t>
  </si>
  <si>
    <t>80588633</t>
  </si>
  <si>
    <t>80601070</t>
  </si>
  <si>
    <t>80601924</t>
  </si>
  <si>
    <t>80601925</t>
  </si>
  <si>
    <t>80601949</t>
  </si>
  <si>
    <t>80742584</t>
  </si>
  <si>
    <t>80742585</t>
  </si>
  <si>
    <t>80742810</t>
  </si>
  <si>
    <t>80742811</t>
  </si>
  <si>
    <t>80742818</t>
  </si>
  <si>
    <t>80742820</t>
  </si>
  <si>
    <t>80742829</t>
  </si>
  <si>
    <t>80742836</t>
  </si>
  <si>
    <t>80742840</t>
  </si>
  <si>
    <t>80742847</t>
  </si>
  <si>
    <t>80742868</t>
  </si>
  <si>
    <t>80742990</t>
  </si>
  <si>
    <t>80745352</t>
  </si>
  <si>
    <t>80745673</t>
  </si>
  <si>
    <t>80745692</t>
  </si>
  <si>
    <t>80745699</t>
  </si>
  <si>
    <t>80746189</t>
  </si>
  <si>
    <t>80746713</t>
  </si>
  <si>
    <t>80749097</t>
  </si>
  <si>
    <t>80749310</t>
  </si>
  <si>
    <t>80749414</t>
  </si>
  <si>
    <t>80749422</t>
  </si>
  <si>
    <t>80749427</t>
  </si>
  <si>
    <t>80752197</t>
  </si>
  <si>
    <t>80752307</t>
  </si>
  <si>
    <t>80752358</t>
  </si>
  <si>
    <t>80752503</t>
  </si>
  <si>
    <t>80752539</t>
  </si>
  <si>
    <t>80752543</t>
  </si>
  <si>
    <t>80752545</t>
  </si>
  <si>
    <t>80752553</t>
  </si>
  <si>
    <t>80752558</t>
  </si>
  <si>
    <t>80752626</t>
  </si>
  <si>
    <t>80753388</t>
  </si>
  <si>
    <t>80753426</t>
  </si>
  <si>
    <t>80753606</t>
  </si>
  <si>
    <t>80753608</t>
  </si>
  <si>
    <t>80753627</t>
  </si>
  <si>
    <t>80753636</t>
  </si>
  <si>
    <t>80753708</t>
  </si>
  <si>
    <t>80755720</t>
  </si>
  <si>
    <t>80761069</t>
  </si>
  <si>
    <t>80761186</t>
  </si>
  <si>
    <t>80761219</t>
  </si>
  <si>
    <t>80761262</t>
  </si>
  <si>
    <t>80761416</t>
  </si>
  <si>
    <t>80762492</t>
  </si>
  <si>
    <t>80765289</t>
  </si>
  <si>
    <t>80767375</t>
  </si>
  <si>
    <t>81037865</t>
  </si>
  <si>
    <t>81037866</t>
  </si>
  <si>
    <t>81064530A</t>
  </si>
  <si>
    <t>81064530B</t>
  </si>
  <si>
    <t>81064530C</t>
  </si>
  <si>
    <t>81064530D</t>
  </si>
  <si>
    <t>81064530E</t>
  </si>
  <si>
    <t>81064920</t>
  </si>
  <si>
    <t>81085066</t>
  </si>
  <si>
    <t>81085569</t>
  </si>
  <si>
    <t>81091601</t>
  </si>
  <si>
    <t>81096115</t>
  </si>
  <si>
    <t>81096131</t>
  </si>
  <si>
    <t>81106274</t>
  </si>
  <si>
    <t>81110787</t>
  </si>
  <si>
    <t>81115195</t>
  </si>
  <si>
    <t>81118392</t>
  </si>
  <si>
    <t>81119251</t>
  </si>
  <si>
    <t>81119294</t>
  </si>
  <si>
    <t>81119534</t>
  </si>
  <si>
    <t>81119538</t>
  </si>
  <si>
    <t>81119540</t>
  </si>
  <si>
    <t>81119754</t>
  </si>
  <si>
    <t>81119840</t>
  </si>
  <si>
    <t>81124877</t>
  </si>
  <si>
    <t>81127167</t>
  </si>
  <si>
    <t>81127685</t>
  </si>
  <si>
    <t>01006634</t>
  </si>
  <si>
    <t>作者</t>
    <phoneticPr fontId="8" type="noConversion"/>
  </si>
  <si>
    <t>80627162</t>
  </si>
  <si>
    <t>80627389</t>
  </si>
  <si>
    <t>80628962</t>
  </si>
  <si>
    <t>80629777</t>
  </si>
  <si>
    <t>80629990</t>
  </si>
  <si>
    <t>80643454</t>
  </si>
  <si>
    <t>80643457</t>
  </si>
  <si>
    <t>80643646</t>
  </si>
  <si>
    <t>80646152</t>
  </si>
  <si>
    <t>80647044</t>
  </si>
  <si>
    <t>80647045</t>
  </si>
  <si>
    <t>80647125</t>
  </si>
  <si>
    <t>80647245</t>
  </si>
  <si>
    <t>80651329</t>
  </si>
  <si>
    <t>80659564</t>
  </si>
  <si>
    <t>80659732</t>
  </si>
  <si>
    <t>80659835</t>
  </si>
  <si>
    <t>80659861</t>
  </si>
  <si>
    <t>80659880</t>
  </si>
  <si>
    <t>80659923</t>
  </si>
  <si>
    <t>80659926</t>
  </si>
  <si>
    <t>80659934</t>
  </si>
  <si>
    <t>80663809</t>
  </si>
  <si>
    <t>80665481</t>
  </si>
  <si>
    <t>80665493</t>
  </si>
  <si>
    <t>80665559</t>
  </si>
  <si>
    <t>80665564</t>
  </si>
  <si>
    <t>80665628</t>
  </si>
  <si>
    <t>80665651</t>
  </si>
  <si>
    <t>80665752</t>
  </si>
  <si>
    <t>80665756</t>
  </si>
  <si>
    <t>80665767</t>
  </si>
  <si>
    <t>80665840</t>
  </si>
  <si>
    <t>80672985</t>
  </si>
  <si>
    <t>80673742</t>
  </si>
  <si>
    <t>80673746</t>
  </si>
  <si>
    <t>80674369</t>
  </si>
  <si>
    <t>80674604</t>
  </si>
  <si>
    <t>80678465</t>
  </si>
  <si>
    <t>80678751</t>
  </si>
  <si>
    <t>80679461</t>
  </si>
  <si>
    <t>80679712</t>
  </si>
  <si>
    <t>80680644A</t>
  </si>
  <si>
    <t>80684455</t>
  </si>
  <si>
    <t>80685511</t>
  </si>
  <si>
    <t>80686155</t>
  </si>
  <si>
    <t>80686274</t>
  </si>
  <si>
    <t>80689574E</t>
  </si>
  <si>
    <t>80689574F</t>
  </si>
  <si>
    <t>80691469</t>
  </si>
  <si>
    <t>80694057</t>
  </si>
  <si>
    <t>80694111</t>
  </si>
  <si>
    <t>80694118</t>
  </si>
  <si>
    <t>80694200</t>
  </si>
  <si>
    <t>80694234</t>
  </si>
  <si>
    <t>80694333</t>
  </si>
  <si>
    <t>80694496</t>
  </si>
  <si>
    <t>80694498</t>
  </si>
  <si>
    <t>80694499</t>
  </si>
  <si>
    <t>80695651</t>
  </si>
  <si>
    <t>80695651A</t>
  </si>
  <si>
    <t>80695827</t>
  </si>
  <si>
    <t>80696359</t>
  </si>
  <si>
    <t>80696481</t>
  </si>
  <si>
    <t>80696524</t>
  </si>
  <si>
    <t>80696572</t>
  </si>
  <si>
    <t>80696692</t>
  </si>
  <si>
    <t>80702669</t>
  </si>
  <si>
    <t>80702673</t>
  </si>
  <si>
    <t>80703971</t>
  </si>
  <si>
    <t>80706600</t>
  </si>
  <si>
    <t>80707914</t>
  </si>
  <si>
    <t>80710108</t>
  </si>
  <si>
    <t>80710293</t>
  </si>
  <si>
    <t>80710597</t>
  </si>
  <si>
    <t>80715235</t>
  </si>
  <si>
    <t>80715236</t>
  </si>
  <si>
    <t>80715281</t>
  </si>
  <si>
    <t>80724349B</t>
  </si>
  <si>
    <t>80724349C</t>
  </si>
  <si>
    <t>80724607</t>
  </si>
  <si>
    <t>80725340</t>
  </si>
  <si>
    <t>80725792</t>
  </si>
  <si>
    <t>80725800</t>
  </si>
  <si>
    <t>80727008</t>
  </si>
  <si>
    <t>80727948</t>
  </si>
  <si>
    <t>80729005</t>
  </si>
  <si>
    <t>80729352</t>
  </si>
  <si>
    <t>80729355</t>
  </si>
  <si>
    <t>80729360</t>
  </si>
  <si>
    <t>80729364</t>
  </si>
  <si>
    <t>80729390</t>
  </si>
  <si>
    <t>80729393</t>
  </si>
  <si>
    <t>80729401</t>
  </si>
  <si>
    <t>80729473</t>
  </si>
  <si>
    <t>80730189</t>
  </si>
  <si>
    <t>80733449</t>
  </si>
  <si>
    <t>80735303</t>
  </si>
  <si>
    <t>80735359</t>
  </si>
  <si>
    <t>80736118</t>
  </si>
  <si>
    <t>80736299</t>
  </si>
  <si>
    <t>80740122</t>
  </si>
  <si>
    <t>80740267</t>
  </si>
  <si>
    <t>80740409</t>
  </si>
  <si>
    <t>80741595</t>
  </si>
  <si>
    <t>80741937</t>
  </si>
  <si>
    <t>80741947</t>
  </si>
  <si>
    <t>80742039</t>
  </si>
  <si>
    <t>80742167</t>
  </si>
  <si>
    <t>80742179</t>
  </si>
  <si>
    <t>80742297</t>
  </si>
  <si>
    <t>80742462</t>
  </si>
  <si>
    <t>80742539</t>
  </si>
  <si>
    <t>總序</t>
    <phoneticPr fontId="8" type="noConversion"/>
  </si>
  <si>
    <t>分類序</t>
    <phoneticPr fontId="8" type="noConversion"/>
  </si>
  <si>
    <t>出版　　　　　　　　日期</t>
    <phoneticPr fontId="8" type="noConversion"/>
  </si>
  <si>
    <t>ISBN/ISSN</t>
    <phoneticPr fontId="8" type="noConversion"/>
  </si>
  <si>
    <t>台幣
定價</t>
    <phoneticPr fontId="8" type="noConversion"/>
  </si>
  <si>
    <t>詩與唐代文言小說研究</t>
  </si>
  <si>
    <t>晉唐兩宋江西小說史話</t>
  </si>
  <si>
    <t>本社</t>
  </si>
  <si>
    <t>中國古代美術叢書.多元匯流元代工藝美術</t>
  </si>
  <si>
    <t>一、古典小說</t>
    <phoneticPr fontId="8" type="noConversion"/>
  </si>
  <si>
    <t>二、詩詞．戲曲</t>
    <phoneticPr fontId="8" type="noConversion"/>
  </si>
  <si>
    <t>三、國學．專題研究</t>
    <phoneticPr fontId="8" type="noConversion"/>
  </si>
  <si>
    <t>古典小說</t>
    <phoneticPr fontId="8" type="noConversion"/>
  </si>
  <si>
    <t>詩詞．戲曲</t>
    <phoneticPr fontId="8" type="noConversion"/>
  </si>
  <si>
    <t>文化民生的時代解讀：重慶“唱讀講傳”活動考</t>
    <phoneticPr fontId="8" type="noConversion"/>
  </si>
  <si>
    <t>國學．專題研究</t>
    <phoneticPr fontId="8" type="noConversion"/>
  </si>
  <si>
    <t>30005920</t>
    <phoneticPr fontId="8" type="noConversion"/>
  </si>
  <si>
    <t>中國中古文學史講義 : 朗朗書房·國學基礎文庫</t>
    <phoneticPr fontId="8" type="noConversion"/>
  </si>
  <si>
    <t>中國人大</t>
    <phoneticPr fontId="8" type="noConversion"/>
  </si>
  <si>
    <t>後期"西昆派"研究</t>
    <phoneticPr fontId="8" type="noConversion"/>
  </si>
  <si>
    <t>四、地理．方志</t>
    <phoneticPr fontId="8" type="noConversion"/>
  </si>
  <si>
    <t>30503812A</t>
    <phoneticPr fontId="8" type="noConversion"/>
  </si>
  <si>
    <t>大明寺_揚州畫舫新錄</t>
    <phoneticPr fontId="8" type="noConversion"/>
  </si>
  <si>
    <t>馬家鼎</t>
    <phoneticPr fontId="8" type="noConversion"/>
  </si>
  <si>
    <t>地理．方志</t>
    <phoneticPr fontId="8" type="noConversion"/>
  </si>
  <si>
    <t>五、建築．考古</t>
    <phoneticPr fontId="8" type="noConversion"/>
  </si>
  <si>
    <t>建築．考古</t>
    <phoneticPr fontId="8" type="noConversion"/>
  </si>
  <si>
    <t>虔誠的印跡-史上最具人文韻味的12座教堂</t>
    <phoneticPr fontId="8" type="noConversion"/>
  </si>
  <si>
    <t>六、藝術．工藝．書畫篆刻</t>
    <phoneticPr fontId="8" type="noConversion"/>
  </si>
  <si>
    <t>藝術．工藝．書畫篆刻</t>
    <phoneticPr fontId="8" type="noConversion"/>
  </si>
  <si>
    <t>七、歷史．人物</t>
    <phoneticPr fontId="8" type="noConversion"/>
  </si>
  <si>
    <t>歷史．人物</t>
    <phoneticPr fontId="8" type="noConversion"/>
  </si>
  <si>
    <t>治世盛衰：“元嘉之治”與“梁武帝之治”初探</t>
    <phoneticPr fontId="8" type="noConversion"/>
  </si>
  <si>
    <t>雄才大略--漢武帝劉徹(中國帝王系列)</t>
    <phoneticPr fontId="8" type="noConversion"/>
  </si>
  <si>
    <t>八、民俗．文化</t>
    <phoneticPr fontId="8" type="noConversion"/>
  </si>
  <si>
    <t>民俗．文化</t>
    <phoneticPr fontId="8" type="noConversion"/>
  </si>
  <si>
    <t>傳統節日與文化空間：“東嶽論壇”國際學術研討會專輯</t>
    <phoneticPr fontId="8" type="noConversion"/>
  </si>
  <si>
    <t>九、養生．醫學</t>
    <phoneticPr fontId="8" type="noConversion"/>
  </si>
  <si>
    <t>養生．醫學</t>
    <phoneticPr fontId="8" type="noConversion"/>
  </si>
  <si>
    <t>十、現當代文學</t>
    <phoneticPr fontId="8" type="noConversion"/>
  </si>
  <si>
    <t>現當代文學</t>
    <phoneticPr fontId="8" type="noConversion"/>
  </si>
  <si>
    <t>十一、生活．休閒</t>
    <phoneticPr fontId="8" type="noConversion"/>
  </si>
  <si>
    <t>生活．休閒</t>
    <phoneticPr fontId="8" type="noConversion"/>
  </si>
  <si>
    <t>"努力實踐"三個代表"全面建設小康社會、率先基本實現社會主義現代"</t>
    <phoneticPr fontId="8" type="noConversion"/>
  </si>
  <si>
    <t>9787203052654</t>
  </si>
  <si>
    <t>9787203052661</t>
  </si>
  <si>
    <t>9787500468714</t>
  </si>
  <si>
    <t>9787500493419</t>
  </si>
  <si>
    <t>9787501026241</t>
  </si>
  <si>
    <t>9787501342037</t>
  </si>
  <si>
    <t>9787507729962</t>
  </si>
  <si>
    <t>9787509710876</t>
  </si>
  <si>
    <t>9787533321505</t>
  </si>
  <si>
    <t>9787533322984</t>
  </si>
  <si>
    <t>9787802065024</t>
  </si>
  <si>
    <t>9787807573425</t>
  </si>
  <si>
    <t>9787533451837</t>
  </si>
  <si>
    <t>780106240X</t>
  </si>
  <si>
    <t>780694057X</t>
  </si>
  <si>
    <t>9787807610694</t>
  </si>
  <si>
    <t>9787807613619</t>
  </si>
  <si>
    <t>9787811277654</t>
  </si>
  <si>
    <t>9787010086989</t>
  </si>
  <si>
    <t>9787010099637</t>
  </si>
  <si>
    <t>9787020079902</t>
  </si>
  <si>
    <t>9787100053280</t>
  </si>
  <si>
    <t>9787101027075</t>
  </si>
  <si>
    <t>710104266X</t>
  </si>
  <si>
    <t>9787101062373</t>
  </si>
  <si>
    <t>9787101063042</t>
  </si>
  <si>
    <t>9787101064032</t>
  </si>
  <si>
    <t>9787104025443</t>
  </si>
  <si>
    <t>9787108033468</t>
  </si>
  <si>
    <t>9787110072059</t>
  </si>
  <si>
    <t>9787208081857</t>
  </si>
  <si>
    <t>9787208082700</t>
  </si>
  <si>
    <t>9787213035210</t>
  </si>
  <si>
    <t>9787214057600</t>
  </si>
  <si>
    <t>9787218064116</t>
  </si>
  <si>
    <t>9787220073823</t>
  </si>
  <si>
    <t>9787224092349</t>
  </si>
  <si>
    <t>9787228140992</t>
  </si>
  <si>
    <t>9787300092591</t>
  </si>
  <si>
    <t>9787300136516</t>
  </si>
  <si>
    <t>7301014988</t>
  </si>
  <si>
    <t>7301025165</t>
  </si>
  <si>
    <t>730102522X</t>
  </si>
  <si>
    <t>7301025238</t>
  </si>
  <si>
    <t>7301025246</t>
  </si>
  <si>
    <t>7301025254</t>
  </si>
  <si>
    <t>9787301150696</t>
  </si>
  <si>
    <t>9787301155585</t>
  </si>
  <si>
    <t>9787307069732</t>
  </si>
  <si>
    <t>7308047695</t>
  </si>
  <si>
    <t>9787309066043</t>
  </si>
  <si>
    <t>9787310033867</t>
  </si>
  <si>
    <t>9787500488408</t>
  </si>
  <si>
    <t>9787507730036</t>
  </si>
  <si>
    <t>9787507733587</t>
  </si>
  <si>
    <t>7532539601</t>
  </si>
  <si>
    <t>9787532549283</t>
  </si>
  <si>
    <t>9787532549399</t>
  </si>
  <si>
    <t>9787532550852</t>
  </si>
  <si>
    <t>9787532551187</t>
  </si>
  <si>
    <t>9787532553051</t>
  </si>
  <si>
    <t>9787532553723</t>
  </si>
  <si>
    <t>9787532555123</t>
  </si>
  <si>
    <t>9787532555444</t>
  </si>
  <si>
    <t>9787533318635</t>
  </si>
  <si>
    <t>9787533321499</t>
  </si>
  <si>
    <t>9787533321987</t>
  </si>
  <si>
    <t>9787533322397</t>
  </si>
  <si>
    <t>9787533322465</t>
  </si>
  <si>
    <t>9787533322564</t>
  </si>
  <si>
    <t>9787535438584</t>
  </si>
  <si>
    <t>9787539924625</t>
  </si>
  <si>
    <t>9787542629906</t>
  </si>
  <si>
    <t>9787560533803</t>
  </si>
  <si>
    <t>7563358404</t>
  </si>
  <si>
    <t>9787563397853</t>
  </si>
  <si>
    <t>7800603784</t>
  </si>
  <si>
    <t>7801061489</t>
  </si>
  <si>
    <t>7801864069</t>
  </si>
  <si>
    <t>9787806273890</t>
  </si>
  <si>
    <t>9787806964811</t>
  </si>
  <si>
    <t>9787806965726</t>
  </si>
  <si>
    <t>9787807079149</t>
  </si>
  <si>
    <t>9787807137146</t>
  </si>
  <si>
    <t>9787807293521</t>
  </si>
  <si>
    <t>9787807293552</t>
  </si>
  <si>
    <t>9787807293644</t>
  </si>
  <si>
    <t>9787807293903</t>
  </si>
  <si>
    <t>9787807293934</t>
  </si>
  <si>
    <t>9787807294016</t>
  </si>
  <si>
    <t>9787807525394</t>
  </si>
  <si>
    <t>7810378651</t>
  </si>
  <si>
    <t>7810850660</t>
  </si>
  <si>
    <t>9787811276855</t>
  </si>
  <si>
    <t>10093125</t>
  </si>
  <si>
    <t>9787010071039</t>
  </si>
  <si>
    <t>9787010075396</t>
  </si>
  <si>
    <t>9787010079080</t>
  </si>
  <si>
    <t>9787010085517</t>
  </si>
  <si>
    <t>9787010086026</t>
  </si>
  <si>
    <t>9787010088761</t>
  </si>
  <si>
    <t>9787020080854</t>
  </si>
  <si>
    <t>9787030238535</t>
  </si>
  <si>
    <t>9787040164817</t>
  </si>
  <si>
    <t>9787100046435</t>
  </si>
  <si>
    <t>710005088X</t>
  </si>
  <si>
    <t>9787100054898</t>
  </si>
  <si>
    <t>9787100057707</t>
  </si>
  <si>
    <t>9787100060820</t>
  </si>
  <si>
    <t>9787100062107</t>
  </si>
  <si>
    <t>9787100067119</t>
  </si>
  <si>
    <t>9787100067782</t>
  </si>
  <si>
    <t>7101038611</t>
  </si>
  <si>
    <t>7101039685</t>
  </si>
  <si>
    <t>7101055400</t>
  </si>
  <si>
    <t>7101055508</t>
  </si>
  <si>
    <t>9787101055542</t>
  </si>
  <si>
    <t>7101056148</t>
  </si>
  <si>
    <t>9787101058383</t>
  </si>
  <si>
    <t>9787101062953</t>
  </si>
  <si>
    <t>9787101063165</t>
  </si>
  <si>
    <t>9787101064285</t>
  </si>
  <si>
    <t>9787101066197</t>
  </si>
  <si>
    <t>9787101066319</t>
  </si>
  <si>
    <t>9787101071160</t>
  </si>
  <si>
    <t>9787101082203</t>
  </si>
  <si>
    <t>9787104032601</t>
  </si>
  <si>
    <t>9787201063423</t>
  </si>
  <si>
    <t>7208061505</t>
  </si>
  <si>
    <t>9787208085954</t>
  </si>
  <si>
    <t>9787208094086</t>
  </si>
  <si>
    <t>9787209047470</t>
  </si>
  <si>
    <t>7211049839</t>
  </si>
  <si>
    <t>9787216060226</t>
  </si>
  <si>
    <t>9787218063935</t>
  </si>
  <si>
    <t>9787221083685</t>
  </si>
  <si>
    <t>7300051219</t>
  </si>
  <si>
    <t>9787300059204</t>
  </si>
  <si>
    <t>7300076254</t>
  </si>
  <si>
    <t>9787300102030</t>
  </si>
  <si>
    <t>9787300102047</t>
  </si>
  <si>
    <t>9787300102054</t>
  </si>
  <si>
    <t>9787300102986</t>
  </si>
  <si>
    <t>9787300102474</t>
  </si>
  <si>
    <t>9787300105086</t>
  </si>
  <si>
    <t>9787300113531</t>
  </si>
  <si>
    <t>9787300136523</t>
  </si>
  <si>
    <t>9787300136196</t>
  </si>
  <si>
    <t>9787300136509</t>
  </si>
  <si>
    <t>7301060432</t>
  </si>
  <si>
    <t>7301064810</t>
  </si>
  <si>
    <t>7301079834</t>
  </si>
  <si>
    <t>9787301097076</t>
  </si>
  <si>
    <t>7301111770</t>
  </si>
  <si>
    <t>7301113625</t>
  </si>
  <si>
    <t>9787301121887</t>
  </si>
  <si>
    <t>9787301124468</t>
  </si>
  <si>
    <t>9787301131282</t>
  </si>
  <si>
    <t>9787301131299</t>
  </si>
  <si>
    <t>9787301131596</t>
  </si>
  <si>
    <t>9787301134634</t>
  </si>
  <si>
    <t>9787301139998</t>
  </si>
  <si>
    <t>9787301150870</t>
  </si>
  <si>
    <t>9787301152539</t>
  </si>
  <si>
    <t>9787301154267</t>
  </si>
  <si>
    <t>9787301154427</t>
  </si>
  <si>
    <t>9787301154908</t>
  </si>
  <si>
    <t>9787301156827</t>
  </si>
  <si>
    <t>9787301157534</t>
  </si>
  <si>
    <t>9787301158081</t>
  </si>
  <si>
    <t>9787301161104</t>
  </si>
  <si>
    <t>9787301162149</t>
  </si>
  <si>
    <t>9787301165607</t>
  </si>
  <si>
    <t>9787302203391</t>
  </si>
  <si>
    <t>9787303105922</t>
  </si>
  <si>
    <t>9787305056161</t>
  </si>
  <si>
    <t>9787305067952</t>
  </si>
  <si>
    <t>7307044846</t>
  </si>
  <si>
    <t>9787307068780</t>
  </si>
  <si>
    <t>9787308059824</t>
  </si>
  <si>
    <t>9787309068962</t>
  </si>
  <si>
    <t>9787310034109</t>
  </si>
  <si>
    <t>9787500078234</t>
  </si>
  <si>
    <t>9787500482048</t>
  </si>
  <si>
    <t>9787500482697</t>
  </si>
  <si>
    <t>9787500484783</t>
  </si>
  <si>
    <t>9787500487470</t>
  </si>
  <si>
    <t>9787500487616</t>
  </si>
  <si>
    <t>9787501240449</t>
  </si>
  <si>
    <t>9787501305919</t>
  </si>
  <si>
    <t>7501324107</t>
  </si>
  <si>
    <t>7501324158</t>
  </si>
  <si>
    <t>750132624X</t>
  </si>
  <si>
    <t>7501327386</t>
  </si>
  <si>
    <t>7501327637</t>
  </si>
  <si>
    <t>7501327971</t>
  </si>
  <si>
    <t>7501331243</t>
  </si>
  <si>
    <t>750133160X</t>
  </si>
  <si>
    <t>7501331715</t>
  </si>
  <si>
    <t>9787501336487</t>
  </si>
  <si>
    <t>9787501338252</t>
  </si>
  <si>
    <t>9787501340903</t>
  </si>
  <si>
    <t>9787501345717</t>
  </si>
  <si>
    <t>9787505886056</t>
  </si>
  <si>
    <t>9787505886568</t>
  </si>
  <si>
    <t>9787507828627</t>
  </si>
  <si>
    <t>9787507829099</t>
  </si>
  <si>
    <t>9787507829112</t>
  </si>
  <si>
    <t>9787507830033</t>
  </si>
  <si>
    <t>9787507830125</t>
  </si>
  <si>
    <t>9787507830132</t>
  </si>
  <si>
    <t>9787507833386</t>
  </si>
  <si>
    <t>9787508723860</t>
  </si>
  <si>
    <t>9787509713372</t>
  </si>
  <si>
    <t>9787511702814</t>
  </si>
  <si>
    <t>9787532131365</t>
  </si>
  <si>
    <t>7532540170</t>
  </si>
  <si>
    <t>7532540693</t>
  </si>
  <si>
    <t>7532543617</t>
  </si>
  <si>
    <t>9787532543878</t>
  </si>
  <si>
    <t>9787532547012</t>
  </si>
  <si>
    <t>9787532549436</t>
  </si>
  <si>
    <t>9787532552986</t>
  </si>
  <si>
    <t>9787532554126</t>
  </si>
  <si>
    <t>9787532554416</t>
  </si>
  <si>
    <t>9787532560561</t>
  </si>
  <si>
    <t>9787533321451</t>
  </si>
  <si>
    <t>9787533321468</t>
  </si>
  <si>
    <t>9787533321475</t>
  </si>
  <si>
    <t>9787533321574</t>
  </si>
  <si>
    <t>7534738296</t>
  </si>
  <si>
    <t>9787534751028</t>
  </si>
  <si>
    <t>9787534753398</t>
  </si>
  <si>
    <t>9787534756771</t>
  </si>
  <si>
    <t>9787534832154</t>
  </si>
  <si>
    <t>9787535442543</t>
  </si>
  <si>
    <t>9787538725605</t>
  </si>
  <si>
    <t>9787543858923</t>
  </si>
  <si>
    <t>9787543860223</t>
  </si>
  <si>
    <t>9787543866188</t>
  </si>
  <si>
    <t>9787544506939</t>
  </si>
  <si>
    <t>9787546101880</t>
  </si>
  <si>
    <t>9787546108384</t>
  </si>
  <si>
    <t>9787560722139</t>
  </si>
  <si>
    <t>7563120823</t>
  </si>
  <si>
    <t>9787563120932</t>
  </si>
  <si>
    <t>9787563121892</t>
  </si>
  <si>
    <t>9787563122554</t>
  </si>
  <si>
    <t>7563361456</t>
  </si>
  <si>
    <t>9787563366118</t>
  </si>
  <si>
    <t>9787563377275</t>
  </si>
  <si>
    <t>9787563397822</t>
  </si>
  <si>
    <t>9787563397938</t>
  </si>
  <si>
    <t>9787563398638</t>
  </si>
  <si>
    <t>7800602664</t>
  </si>
  <si>
    <t>9787800808890</t>
  </si>
  <si>
    <t>9787800808944</t>
  </si>
  <si>
    <t>7801459210</t>
  </si>
  <si>
    <t>9787801707406</t>
  </si>
  <si>
    <t>9787801869081</t>
  </si>
  <si>
    <t>9787802118010</t>
  </si>
  <si>
    <t>9787802118034</t>
  </si>
  <si>
    <t>9787802196438</t>
  </si>
  <si>
    <t>9787802207424</t>
  </si>
  <si>
    <t>9787802285996</t>
  </si>
  <si>
    <t>7802301815</t>
  </si>
  <si>
    <t>9787802309111</t>
  </si>
  <si>
    <t>9787802476141</t>
  </si>
  <si>
    <t>9787805886626</t>
  </si>
  <si>
    <t>9787805886329</t>
  </si>
  <si>
    <t>7806271627</t>
  </si>
  <si>
    <t>9787806470459</t>
  </si>
  <si>
    <t>9787806470442</t>
  </si>
  <si>
    <t>9787806471258</t>
  </si>
  <si>
    <t>9787806472453</t>
  </si>
  <si>
    <t>7806598359</t>
  </si>
  <si>
    <t>7806599266</t>
  </si>
  <si>
    <t>9787806657676</t>
  </si>
  <si>
    <t>7806658408</t>
  </si>
  <si>
    <t>9787806942345</t>
  </si>
  <si>
    <t>9787806943335</t>
  </si>
  <si>
    <t>9787806963593</t>
  </si>
  <si>
    <t>9787806965245</t>
  </si>
  <si>
    <t>9787806966921</t>
  </si>
  <si>
    <t>9787807293606</t>
  </si>
  <si>
    <t>9787807361183</t>
  </si>
  <si>
    <t>9787807521976</t>
  </si>
  <si>
    <t>9787807523079</t>
  </si>
  <si>
    <t>9787807523581</t>
  </si>
  <si>
    <t>9787807523734</t>
  </si>
  <si>
    <t>9787807524816</t>
  </si>
  <si>
    <t>9787807525431</t>
  </si>
  <si>
    <t>9787807525530</t>
  </si>
  <si>
    <t>9787807525585</t>
  </si>
  <si>
    <t>9787807526261</t>
  </si>
  <si>
    <t>7807612193</t>
  </si>
  <si>
    <t>9787807612629</t>
  </si>
  <si>
    <t>9787807624929</t>
  </si>
  <si>
    <t>9787807673750</t>
  </si>
  <si>
    <t>781037866X</t>
  </si>
  <si>
    <t>9787810645300</t>
  </si>
  <si>
    <t>9787810649209</t>
  </si>
  <si>
    <t>9787810918817</t>
  </si>
  <si>
    <t>9787115229694</t>
  </si>
  <si>
    <t>9787209046428</t>
  </si>
  <si>
    <t>7218054331</t>
  </si>
  <si>
    <t>721805482X</t>
  </si>
  <si>
    <t>7220070101</t>
  </si>
  <si>
    <t>9787228127788</t>
  </si>
  <si>
    <t>9787228140695</t>
  </si>
  <si>
    <t>9787228140947</t>
  </si>
  <si>
    <t>9787228141104</t>
  </si>
  <si>
    <t>9787301163122</t>
  </si>
  <si>
    <t>7305038121</t>
  </si>
  <si>
    <t>9787500683360</t>
  </si>
  <si>
    <t>9787500683438</t>
  </si>
  <si>
    <t>9787500684084</t>
  </si>
  <si>
    <t>9787500684176</t>
  </si>
  <si>
    <t>9787500684190</t>
  </si>
  <si>
    <t>9787500684558</t>
  </si>
  <si>
    <t>9787508456713</t>
  </si>
  <si>
    <t>9787509714898</t>
  </si>
  <si>
    <t>9787509714959</t>
  </si>
  <si>
    <t>9787509715482</t>
  </si>
  <si>
    <t>9787532267774</t>
  </si>
  <si>
    <t>753238148X</t>
  </si>
  <si>
    <t>7532542904</t>
  </si>
  <si>
    <t>7533019903</t>
  </si>
  <si>
    <t>9787533309268</t>
  </si>
  <si>
    <t>9787537198189</t>
  </si>
  <si>
    <t>9787540219147</t>
  </si>
  <si>
    <t>9787540315863</t>
  </si>
  <si>
    <t>9787546600772</t>
  </si>
  <si>
    <t>9787546602684</t>
  </si>
  <si>
    <t>9787546609294</t>
  </si>
  <si>
    <t>9787546610948</t>
  </si>
  <si>
    <t>9787546611242</t>
  </si>
  <si>
    <t>9787546915647</t>
  </si>
  <si>
    <t>9787546925110</t>
  </si>
  <si>
    <t>9787546925127</t>
  </si>
  <si>
    <t>9787546925141</t>
  </si>
  <si>
    <t>9787547500606</t>
  </si>
  <si>
    <t>9787547500613</t>
  </si>
  <si>
    <t>9787547500620</t>
  </si>
  <si>
    <t>9787547500637</t>
  </si>
  <si>
    <t>9787547500651</t>
  </si>
  <si>
    <t>9787547500682</t>
  </si>
  <si>
    <t>9787547500699</t>
  </si>
  <si>
    <t>9787547500705</t>
  </si>
  <si>
    <t>9787547500712</t>
  </si>
  <si>
    <t>9787548801351</t>
  </si>
  <si>
    <t>9787563712885</t>
  </si>
  <si>
    <t>9787563712977</t>
  </si>
  <si>
    <t>9787564114428</t>
  </si>
  <si>
    <t>9787801708243</t>
  </si>
  <si>
    <t>9787801708533</t>
  </si>
  <si>
    <t>7801908465</t>
  </si>
  <si>
    <t>7802301246</t>
  </si>
  <si>
    <t>7806434542</t>
  </si>
  <si>
    <t>7806434577</t>
  </si>
  <si>
    <t>7806436464</t>
  </si>
  <si>
    <t>7806595643</t>
  </si>
  <si>
    <t>7806597328</t>
  </si>
  <si>
    <t>7806599347</t>
  </si>
  <si>
    <t>7806818715</t>
  </si>
  <si>
    <t>7806844554</t>
  </si>
  <si>
    <t>9787806858806</t>
  </si>
  <si>
    <t>7806941118</t>
  </si>
  <si>
    <t>7806941185</t>
  </si>
  <si>
    <t>9787806956519</t>
  </si>
  <si>
    <t>9787806958278</t>
  </si>
  <si>
    <t>9787807026693</t>
  </si>
  <si>
    <t>9787807026723</t>
  </si>
  <si>
    <t>9787807026730</t>
  </si>
  <si>
    <t>9787807039716</t>
  </si>
  <si>
    <t>9787807270089</t>
  </si>
  <si>
    <t>9787807272021</t>
  </si>
  <si>
    <t>9787807275329</t>
  </si>
  <si>
    <t>9787807422976</t>
  </si>
  <si>
    <t>9787100054911</t>
  </si>
  <si>
    <t>9787101069549</t>
  </si>
  <si>
    <t>7108025590</t>
  </si>
  <si>
    <t>9787108031389</t>
  </si>
  <si>
    <t>7112061261</t>
  </si>
  <si>
    <t>7112071224</t>
  </si>
  <si>
    <t>7201046756</t>
  </si>
  <si>
    <t>9787228127870</t>
  </si>
  <si>
    <t>9787228151431</t>
  </si>
  <si>
    <t>9787228151455</t>
  </si>
  <si>
    <t>9787300081984</t>
  </si>
  <si>
    <t>9787300081991</t>
  </si>
  <si>
    <t>9787300091945</t>
  </si>
  <si>
    <t>9787300091952</t>
  </si>
  <si>
    <t>9787300098494</t>
  </si>
  <si>
    <t>9787301139790</t>
  </si>
  <si>
    <t>9787313063700</t>
  </si>
  <si>
    <t>9787500686156</t>
  </si>
  <si>
    <t>9787501025947</t>
  </si>
  <si>
    <t>7501327807</t>
  </si>
  <si>
    <t>7501331820</t>
  </si>
  <si>
    <t>7501333599</t>
  </si>
  <si>
    <t>9787501336401</t>
  </si>
  <si>
    <t>9787501339778</t>
  </si>
  <si>
    <t>9787503847653</t>
  </si>
  <si>
    <t>9787506038287</t>
  </si>
  <si>
    <t>9787506291217</t>
  </si>
  <si>
    <t>9787507733068</t>
  </si>
  <si>
    <t>9787508364032</t>
  </si>
  <si>
    <t>9787508724775</t>
  </si>
  <si>
    <t>9787509715086</t>
  </si>
  <si>
    <t>9787510018077</t>
  </si>
  <si>
    <t>753064100X</t>
  </si>
  <si>
    <t>9787534758607</t>
  </si>
  <si>
    <t>7561745907</t>
  </si>
  <si>
    <t>7561748167</t>
  </si>
  <si>
    <t>9787801869807</t>
  </si>
  <si>
    <t>7806598618</t>
  </si>
  <si>
    <t>780665819X</t>
  </si>
  <si>
    <t>9787807101086</t>
  </si>
  <si>
    <t>9787807102939</t>
  </si>
  <si>
    <t>9787807402671</t>
  </si>
  <si>
    <t>9787807425397</t>
  </si>
  <si>
    <t>9787807428473</t>
  </si>
  <si>
    <t>9787807493105</t>
  </si>
  <si>
    <t>9787807536062</t>
  </si>
  <si>
    <t>9787807536086</t>
  </si>
  <si>
    <t>9787807536369</t>
  </si>
  <si>
    <t>9787807536277</t>
  </si>
  <si>
    <t>9787807536659</t>
  </si>
  <si>
    <t>9787807537083</t>
  </si>
  <si>
    <t>9787811062748</t>
  </si>
  <si>
    <t>9787030238030</t>
  </si>
  <si>
    <t>9787108029164</t>
  </si>
  <si>
    <t>9787108029768</t>
  </si>
  <si>
    <t>711516181X</t>
  </si>
  <si>
    <t>7119031554</t>
  </si>
  <si>
    <t>9787201057828</t>
  </si>
  <si>
    <t>9787209044677</t>
  </si>
  <si>
    <t>9787212032395</t>
  </si>
  <si>
    <t>9787214052568</t>
  </si>
  <si>
    <t>9787214057631</t>
  </si>
  <si>
    <t>7215058190</t>
  </si>
  <si>
    <t>7215059049</t>
  </si>
  <si>
    <t>7218041051</t>
  </si>
  <si>
    <t>7218050786</t>
  </si>
  <si>
    <t>9787218065724</t>
  </si>
  <si>
    <t>9787218067032</t>
  </si>
  <si>
    <t>722702525X</t>
  </si>
  <si>
    <t>7227025268</t>
  </si>
  <si>
    <t>9787228123445</t>
  </si>
  <si>
    <t>9787228150113</t>
  </si>
  <si>
    <t>9787228153374</t>
  </si>
  <si>
    <t>9787228707935</t>
  </si>
  <si>
    <t>9787300108643</t>
  </si>
  <si>
    <t>9787301084243</t>
  </si>
  <si>
    <t>9787301172216</t>
  </si>
  <si>
    <t>9787303108688</t>
  </si>
  <si>
    <t>7308035034</t>
  </si>
  <si>
    <t>7501014973</t>
  </si>
  <si>
    <t>7501015066</t>
  </si>
  <si>
    <t>7501017050</t>
  </si>
  <si>
    <t>9787501020423</t>
  </si>
  <si>
    <t>9787501020652</t>
  </si>
  <si>
    <t>9787501023929</t>
  </si>
  <si>
    <t>9787501028993</t>
  </si>
  <si>
    <t>9787501024490</t>
  </si>
  <si>
    <t>9787501024636</t>
  </si>
  <si>
    <t>9787501024902</t>
  </si>
  <si>
    <t>9787501026425</t>
  </si>
  <si>
    <t>9787501027910</t>
  </si>
  <si>
    <t>9787501028313</t>
  </si>
  <si>
    <t>7501325928</t>
  </si>
  <si>
    <t>7501330034</t>
  </si>
  <si>
    <t>7503225254</t>
  </si>
  <si>
    <t>9787503698934</t>
  </si>
  <si>
    <t>9787503850868</t>
  </si>
  <si>
    <t>9787503943263</t>
  </si>
  <si>
    <t>9787505957671</t>
  </si>
  <si>
    <t>9787505957817</t>
  </si>
  <si>
    <t>7506025639</t>
  </si>
  <si>
    <t>9787506038270</t>
  </si>
  <si>
    <t>7506433389</t>
  </si>
  <si>
    <t>9787507729306</t>
  </si>
  <si>
    <t>9787507732726</t>
  </si>
  <si>
    <t>9787507733471</t>
  </si>
  <si>
    <t>9787507831924</t>
  </si>
  <si>
    <t>9787507832778</t>
  </si>
  <si>
    <t>7508505425</t>
  </si>
  <si>
    <t>7508714687</t>
  </si>
  <si>
    <t>9787514903423</t>
  </si>
  <si>
    <t>7530526227</t>
  </si>
  <si>
    <t>7530526642</t>
  </si>
  <si>
    <t>7530526820</t>
  </si>
  <si>
    <t>7530526839</t>
  </si>
  <si>
    <t>7530527126</t>
  </si>
  <si>
    <t>7530527177</t>
  </si>
  <si>
    <t>7530527231</t>
  </si>
  <si>
    <t>7530527266</t>
  </si>
  <si>
    <t>7530527320</t>
  </si>
  <si>
    <t>7530527355</t>
  </si>
  <si>
    <t>7530527398</t>
  </si>
  <si>
    <t>7530527657</t>
  </si>
  <si>
    <t>7530528394</t>
  </si>
  <si>
    <t>7530528726</t>
  </si>
  <si>
    <t>7530529749</t>
  </si>
  <si>
    <t>9787530652046</t>
  </si>
  <si>
    <t>9787530655870</t>
  </si>
  <si>
    <t>9787530656020</t>
  </si>
  <si>
    <t>9787531823902</t>
  </si>
  <si>
    <t>9787532146697</t>
  </si>
  <si>
    <t>9787532256181</t>
  </si>
  <si>
    <t>9787532396993</t>
  </si>
  <si>
    <t>9787532549207</t>
  </si>
  <si>
    <t>9787532556878</t>
  </si>
  <si>
    <t>9787532630172</t>
  </si>
  <si>
    <t>753302012X</t>
  </si>
  <si>
    <t>7533021193</t>
  </si>
  <si>
    <t>9787533314170</t>
  </si>
  <si>
    <t>753352036X</t>
  </si>
  <si>
    <t>9787534750342</t>
  </si>
  <si>
    <t>9787534758072</t>
  </si>
  <si>
    <t>9787534830136</t>
  </si>
  <si>
    <t>7535625835</t>
  </si>
  <si>
    <t>9787535634146</t>
  </si>
  <si>
    <t>9787536237803</t>
  </si>
  <si>
    <t>7536649703</t>
  </si>
  <si>
    <t>9787538723861</t>
  </si>
  <si>
    <t>9787539431062</t>
  </si>
  <si>
    <t>9787539734163</t>
  </si>
  <si>
    <t>9787540120436</t>
  </si>
  <si>
    <t>7541026794</t>
  </si>
  <si>
    <t>7541028045</t>
  </si>
  <si>
    <t>7541028371</t>
  </si>
  <si>
    <t>7541030813</t>
  </si>
  <si>
    <t>7541031046</t>
  </si>
  <si>
    <t>7541031054</t>
  </si>
  <si>
    <t>7541122459</t>
  </si>
  <si>
    <t>7541812161</t>
  </si>
  <si>
    <t>9787542632814</t>
  </si>
  <si>
    <t>7543456311</t>
  </si>
  <si>
    <t>7543456710</t>
  </si>
  <si>
    <t>9787546909752</t>
  </si>
  <si>
    <t>9787546919027</t>
  </si>
  <si>
    <t>9787546926667</t>
  </si>
  <si>
    <t>9787546926681</t>
  </si>
  <si>
    <t>9787547304167</t>
  </si>
  <si>
    <t>9787548802310</t>
  </si>
  <si>
    <t>7560832040</t>
  </si>
  <si>
    <t>9787560944999</t>
  </si>
  <si>
    <t>7562130922</t>
  </si>
  <si>
    <t>7562132976</t>
  </si>
  <si>
    <t>9787562452324</t>
  </si>
  <si>
    <t>7563338810</t>
  </si>
  <si>
    <t>9787563355334</t>
  </si>
  <si>
    <t>9787563370092</t>
  </si>
  <si>
    <t>9787563375615</t>
  </si>
  <si>
    <t>9787563375646</t>
  </si>
  <si>
    <t>9787563377473</t>
  </si>
  <si>
    <t>9787563377480</t>
  </si>
  <si>
    <t>9787563377497</t>
  </si>
  <si>
    <t>9787800475382</t>
  </si>
  <si>
    <t>9787800475399</t>
  </si>
  <si>
    <t>9787800477935</t>
  </si>
  <si>
    <t>9787800478253</t>
  </si>
  <si>
    <t>9787800478444</t>
  </si>
  <si>
    <t>9787800478529</t>
  </si>
  <si>
    <t>7800604241</t>
  </si>
  <si>
    <t>9787800809354</t>
  </si>
  <si>
    <t>9787801708366</t>
  </si>
  <si>
    <t>9787801708786</t>
  </si>
  <si>
    <t>7801783220</t>
  </si>
  <si>
    <t>9787801998705</t>
  </si>
  <si>
    <t>9787802118072</t>
  </si>
  <si>
    <t>9787802258754</t>
  </si>
  <si>
    <t>9787805047171</t>
  </si>
  <si>
    <t>7805171033</t>
  </si>
  <si>
    <t>9787805265360</t>
  </si>
  <si>
    <t>9787805269016</t>
  </si>
  <si>
    <t>7805886067</t>
  </si>
  <si>
    <t>9787805886282</t>
  </si>
  <si>
    <t>9787805886336</t>
  </si>
  <si>
    <t>780601070X</t>
  </si>
  <si>
    <t>7806019251</t>
  </si>
  <si>
    <t>9787806019498</t>
  </si>
  <si>
    <t>7806513299</t>
  </si>
  <si>
    <t>7806582258</t>
  </si>
  <si>
    <t>780665481X</t>
  </si>
  <si>
    <t>7806654933</t>
  </si>
  <si>
    <t>780665559X</t>
  </si>
  <si>
    <t>7806656286</t>
  </si>
  <si>
    <t>7806656510</t>
  </si>
  <si>
    <t>7806729852</t>
  </si>
  <si>
    <t>7806743693</t>
  </si>
  <si>
    <t>7806746048</t>
  </si>
  <si>
    <t>780678537X</t>
  </si>
  <si>
    <t>7806785388</t>
  </si>
  <si>
    <t>7806861556</t>
  </si>
  <si>
    <t>7806862587</t>
  </si>
  <si>
    <t>7806862749</t>
  </si>
  <si>
    <t>9787806914694</t>
  </si>
  <si>
    <t>7806942009</t>
  </si>
  <si>
    <t>9787806944967</t>
  </si>
  <si>
    <t>9787806944981</t>
  </si>
  <si>
    <t>9787806944998</t>
  </si>
  <si>
    <t>9787807152347</t>
  </si>
  <si>
    <t>9787807152354</t>
  </si>
  <si>
    <t>9787807152361</t>
  </si>
  <si>
    <t>9787807152378</t>
  </si>
  <si>
    <t>9787807152811</t>
  </si>
  <si>
    <t>9787807253402</t>
  </si>
  <si>
    <t>9787807257929</t>
  </si>
  <si>
    <t>9787807258001</t>
  </si>
  <si>
    <t>9787807353034</t>
  </si>
  <si>
    <t/>
  </si>
  <si>
    <t>9787807415954</t>
  </si>
  <si>
    <t>7807420391</t>
  </si>
  <si>
    <t>9787807421672</t>
  </si>
  <si>
    <t>9787807428299</t>
  </si>
  <si>
    <t>9787807441090</t>
  </si>
  <si>
    <t>9787807441861</t>
  </si>
  <si>
    <t>9787807443018</t>
  </si>
  <si>
    <t>9787807453529</t>
  </si>
  <si>
    <t>7807461896</t>
  </si>
  <si>
    <t>9787807467137</t>
  </si>
  <si>
    <t>7810855697</t>
  </si>
  <si>
    <t>7810961152</t>
  </si>
  <si>
    <t>7810961314</t>
  </si>
  <si>
    <t>9787811107876</t>
  </si>
  <si>
    <t>9787811192513</t>
  </si>
  <si>
    <t>9787010070445</t>
  </si>
  <si>
    <t>7020030963</t>
  </si>
  <si>
    <t>9787020065714</t>
  </si>
  <si>
    <t>9787100069281</t>
  </si>
  <si>
    <t>9787101068726</t>
  </si>
  <si>
    <t>9787101068740</t>
  </si>
  <si>
    <t>9787101068801</t>
  </si>
  <si>
    <t>9787101070033</t>
  </si>
  <si>
    <t>9787101071269</t>
  </si>
  <si>
    <t>9787104022091</t>
  </si>
  <si>
    <t>7104028021</t>
  </si>
  <si>
    <t>7201024655</t>
  </si>
  <si>
    <t>9787201059099</t>
  </si>
  <si>
    <t>9787203066040</t>
  </si>
  <si>
    <t>9787205067045</t>
  </si>
  <si>
    <t>9787205067724</t>
  </si>
  <si>
    <t>9787206068140</t>
  </si>
  <si>
    <t>7208067112</t>
  </si>
  <si>
    <t>7209040781</t>
  </si>
  <si>
    <t>9787213041235</t>
  </si>
  <si>
    <t>9787213041242</t>
  </si>
  <si>
    <t>9787213041259</t>
  </si>
  <si>
    <t>7214028239</t>
  </si>
  <si>
    <t>7214039850</t>
  </si>
  <si>
    <t>7214039869</t>
  </si>
  <si>
    <t>7214040026</t>
  </si>
  <si>
    <t>7214040220</t>
  </si>
  <si>
    <t>7214040255</t>
  </si>
  <si>
    <t>7214040263</t>
  </si>
  <si>
    <t>7214042428</t>
  </si>
  <si>
    <t>7214042266</t>
  </si>
  <si>
    <t>7214042282</t>
  </si>
  <si>
    <t>7214042290</t>
  </si>
  <si>
    <t>7214042339</t>
  </si>
  <si>
    <t>7214042401</t>
  </si>
  <si>
    <t>7214042444</t>
  </si>
  <si>
    <t>7214042452</t>
  </si>
  <si>
    <t>9787216068260</t>
  </si>
  <si>
    <t>9787218061979</t>
  </si>
  <si>
    <t>9787224078442</t>
  </si>
  <si>
    <t>9787224085556</t>
  </si>
  <si>
    <t>9787224085631</t>
  </si>
  <si>
    <t>9787224091977</t>
  </si>
  <si>
    <t>9787224092356</t>
  </si>
  <si>
    <t>9787226035535</t>
  </si>
  <si>
    <t>9787229019679</t>
  </si>
  <si>
    <t>7300056830</t>
  </si>
  <si>
    <t>9787300103792</t>
  </si>
  <si>
    <t>9787301127568</t>
  </si>
  <si>
    <t>9787301140666</t>
  </si>
  <si>
    <t>9787301159842</t>
  </si>
  <si>
    <t>9787303098668</t>
  </si>
  <si>
    <t>9787303098682</t>
  </si>
  <si>
    <t>9787303098699</t>
  </si>
  <si>
    <t>9787305059995</t>
  </si>
  <si>
    <t>9787307075733</t>
  </si>
  <si>
    <t>730904827X</t>
  </si>
  <si>
    <t>9787309064834</t>
  </si>
  <si>
    <t>9787500842750</t>
  </si>
  <si>
    <t>9787500845362</t>
  </si>
  <si>
    <t>9787500845379</t>
  </si>
  <si>
    <t>7501173303</t>
  </si>
  <si>
    <t>7501334358</t>
  </si>
  <si>
    <t>9787501791736</t>
  </si>
  <si>
    <t>9787503422546</t>
  </si>
  <si>
    <t>9787503422553</t>
  </si>
  <si>
    <t>9787503422560</t>
  </si>
  <si>
    <t>9787503422577</t>
  </si>
  <si>
    <t>9787503422584</t>
  </si>
  <si>
    <t>9787503422607</t>
  </si>
  <si>
    <t>9787503425141</t>
  </si>
  <si>
    <t>9787503945526</t>
  </si>
  <si>
    <t>9787504357663</t>
  </si>
  <si>
    <t>9787504357687</t>
  </si>
  <si>
    <t>9787504360892</t>
  </si>
  <si>
    <t>9787506034753</t>
  </si>
  <si>
    <t>9787506345736</t>
  </si>
  <si>
    <t>9787507526912</t>
  </si>
  <si>
    <t>9787507830194</t>
  </si>
  <si>
    <t>9787508056906</t>
  </si>
  <si>
    <t>9787508059532</t>
  </si>
  <si>
    <t>9787508059594</t>
  </si>
  <si>
    <t>9787508060903</t>
  </si>
  <si>
    <t>7509000211</t>
  </si>
  <si>
    <t>9787509805893</t>
  </si>
  <si>
    <t>9787510018084</t>
  </si>
  <si>
    <t>9787511002112</t>
  </si>
  <si>
    <t>9787511002136</t>
  </si>
  <si>
    <t>9787511002143</t>
  </si>
  <si>
    <t>9787511002150</t>
  </si>
  <si>
    <t>9787511301215</t>
  </si>
  <si>
    <t>9787530651889</t>
  </si>
  <si>
    <t>9787531721840</t>
  </si>
  <si>
    <t>9787532137077</t>
  </si>
  <si>
    <t>9787533322427</t>
  </si>
  <si>
    <t>9787533322519</t>
  </si>
  <si>
    <t>9787533322809</t>
  </si>
  <si>
    <t>9787533322830</t>
  </si>
  <si>
    <t>9787534757433</t>
  </si>
  <si>
    <t>9787534827730</t>
  </si>
  <si>
    <t>9787534827747</t>
  </si>
  <si>
    <t>9787534827754</t>
  </si>
  <si>
    <t>9787534827761</t>
  </si>
  <si>
    <t>9787534827778</t>
  </si>
  <si>
    <t>9787536690769</t>
  </si>
  <si>
    <t>9787538289664</t>
  </si>
  <si>
    <t>9787539926353</t>
  </si>
  <si>
    <t>9787539928340</t>
  </si>
  <si>
    <t>9787540220488</t>
  </si>
  <si>
    <t>9787540315870</t>
  </si>
  <si>
    <t>9787540441289</t>
  </si>
  <si>
    <t>9787540441920</t>
  </si>
  <si>
    <t>9787541534898</t>
  </si>
  <si>
    <t>9787543039735</t>
  </si>
  <si>
    <t>7543450488</t>
  </si>
  <si>
    <t>7543450496</t>
  </si>
  <si>
    <t>754345050X</t>
  </si>
  <si>
    <t>7543450534</t>
  </si>
  <si>
    <t>7543450542</t>
  </si>
  <si>
    <t>7543450569</t>
  </si>
  <si>
    <t>7543450593</t>
  </si>
  <si>
    <t>9787544041164</t>
  </si>
  <si>
    <t>9787544041287</t>
  </si>
  <si>
    <t>9787544041270</t>
  </si>
  <si>
    <t>9787544435611</t>
  </si>
  <si>
    <t>7544503623</t>
  </si>
  <si>
    <t>9787544511513</t>
  </si>
  <si>
    <t>9787545201574</t>
  </si>
  <si>
    <t>9787545203868</t>
  </si>
  <si>
    <t>9787545205114</t>
  </si>
  <si>
    <t>9787545204087</t>
  </si>
  <si>
    <t>9787545801675</t>
  </si>
  <si>
    <t>9787546307480</t>
  </si>
  <si>
    <t>9787546323091</t>
  </si>
  <si>
    <t>9787546323107</t>
  </si>
  <si>
    <t>9787546337005</t>
  </si>
  <si>
    <t>9787546328096</t>
  </si>
  <si>
    <t>9787547003534</t>
  </si>
  <si>
    <t>9787547304006</t>
  </si>
  <si>
    <t>9787560714936</t>
  </si>
  <si>
    <t>9787560968308</t>
  </si>
  <si>
    <t>9787561337837</t>
  </si>
  <si>
    <t>9787562453000</t>
  </si>
  <si>
    <t>9787563377671</t>
  </si>
  <si>
    <t>9787563377688</t>
  </si>
  <si>
    <t>9787563390199</t>
  </si>
  <si>
    <t>9787563921966</t>
  </si>
  <si>
    <t>9787563924172</t>
  </si>
  <si>
    <t>9787563924189</t>
  </si>
  <si>
    <t>9787564030759</t>
  </si>
  <si>
    <t>9787564122058</t>
  </si>
  <si>
    <t>7601013200</t>
  </si>
  <si>
    <t>9787301148327</t>
  </si>
  <si>
    <t>9787800479014</t>
  </si>
  <si>
    <t>9787801869944</t>
  </si>
  <si>
    <t>9787801957948</t>
  </si>
  <si>
    <t>9787801958136</t>
  </si>
  <si>
    <t>9787801959218</t>
  </si>
  <si>
    <t>9787802046191</t>
  </si>
  <si>
    <t>9787802106260</t>
  </si>
  <si>
    <t>9787802106307</t>
  </si>
  <si>
    <t>9787802106338</t>
  </si>
  <si>
    <t>9787802106406</t>
  </si>
  <si>
    <t>9787802136038</t>
  </si>
  <si>
    <t>9787802143838</t>
  </si>
  <si>
    <t>9787802215764</t>
  </si>
  <si>
    <t>9787802225190</t>
  </si>
  <si>
    <t>9787802233256</t>
  </si>
  <si>
    <t>9787802233713</t>
  </si>
  <si>
    <t>9787802513228</t>
  </si>
  <si>
    <t>9787802521964</t>
  </si>
  <si>
    <t>7805648735</t>
  </si>
  <si>
    <t>9787805684949</t>
  </si>
  <si>
    <t>9787806289624</t>
  </si>
  <si>
    <t>7806297774</t>
  </si>
  <si>
    <t>7806299904</t>
  </si>
  <si>
    <t>7806599231</t>
  </si>
  <si>
    <t>9787806636329</t>
  </si>
  <si>
    <t>9787806638880</t>
  </si>
  <si>
    <t>7806657525</t>
  </si>
  <si>
    <t>7806657568</t>
  </si>
  <si>
    <t>9787806737422</t>
  </si>
  <si>
    <t>9787806737460</t>
  </si>
  <si>
    <t>9787807105978</t>
  </si>
  <si>
    <t>9787807234999</t>
  </si>
  <si>
    <t>9787807243496</t>
  </si>
  <si>
    <t>7807290056</t>
  </si>
  <si>
    <t>9787807298267</t>
  </si>
  <si>
    <t>9787807298250</t>
  </si>
  <si>
    <t>9787807361459</t>
  </si>
  <si>
    <t>9787807362999</t>
  </si>
  <si>
    <t>9787807421795</t>
  </si>
  <si>
    <t>9787807429906</t>
  </si>
  <si>
    <t>9787807494140</t>
  </si>
  <si>
    <t>9787807494225</t>
  </si>
  <si>
    <t>9787807494270</t>
  </si>
  <si>
    <t>9787807525035</t>
  </si>
  <si>
    <t>9787807525455</t>
  </si>
  <si>
    <t>9787807534266</t>
  </si>
  <si>
    <t>9787807557203</t>
  </si>
  <si>
    <t>9787810916011</t>
  </si>
  <si>
    <t>9787811151954</t>
  </si>
  <si>
    <t>9787811192940</t>
  </si>
  <si>
    <t>9787040282900</t>
  </si>
  <si>
    <t>9787100055741</t>
  </si>
  <si>
    <t>9787100057103</t>
  </si>
  <si>
    <t>9787101063608</t>
  </si>
  <si>
    <t>9787101064070</t>
  </si>
  <si>
    <t>9787105104505</t>
  </si>
  <si>
    <t>9787108032263</t>
  </si>
  <si>
    <t>9787110072035</t>
  </si>
  <si>
    <t>720706490X</t>
  </si>
  <si>
    <t>7207065744</t>
  </si>
  <si>
    <t>9787218054421</t>
  </si>
  <si>
    <t>9787218057361</t>
  </si>
  <si>
    <t>9787221069726</t>
  </si>
  <si>
    <t>9787221069733</t>
  </si>
  <si>
    <t>9787221069757</t>
  </si>
  <si>
    <t>9787221069795</t>
  </si>
  <si>
    <t>9787221069825</t>
  </si>
  <si>
    <t>9787221069863</t>
  </si>
  <si>
    <t>9787224089882</t>
  </si>
  <si>
    <t>9787301151969</t>
  </si>
  <si>
    <t>9787301170977</t>
  </si>
  <si>
    <t>730905296X</t>
  </si>
  <si>
    <t>9787500079156</t>
  </si>
  <si>
    <t>9787500079170</t>
  </si>
  <si>
    <t>9787500476429</t>
  </si>
  <si>
    <t>9787500476436</t>
  </si>
  <si>
    <t>9787500477297</t>
  </si>
  <si>
    <t>7501015767</t>
  </si>
  <si>
    <t>7501015775</t>
  </si>
  <si>
    <t>7501015872</t>
  </si>
  <si>
    <t>7501017182</t>
  </si>
  <si>
    <t>9787501795987</t>
  </si>
  <si>
    <t>7504724440</t>
  </si>
  <si>
    <t>9787505957725</t>
  </si>
  <si>
    <t>9787505957800</t>
  </si>
  <si>
    <t>9787505957862</t>
  </si>
  <si>
    <t>9787506295185</t>
  </si>
  <si>
    <t>9787506818667</t>
  </si>
  <si>
    <t>750772154X</t>
  </si>
  <si>
    <t>9787507729115</t>
  </si>
  <si>
    <t>9787508478364</t>
  </si>
  <si>
    <t>9787508478395</t>
  </si>
  <si>
    <t>9787508478586</t>
  </si>
  <si>
    <t>7508508076</t>
  </si>
  <si>
    <t>7508710428</t>
  </si>
  <si>
    <t>9787508724690</t>
  </si>
  <si>
    <t>9787509724569</t>
  </si>
  <si>
    <t>9787513000277</t>
  </si>
  <si>
    <t>7534114578</t>
  </si>
  <si>
    <t>9787534757174</t>
  </si>
  <si>
    <t>7534825911</t>
  </si>
  <si>
    <t>9787540315856</t>
  </si>
  <si>
    <t>9787540677206</t>
  </si>
  <si>
    <t>9787540677213</t>
  </si>
  <si>
    <t>9787543468627</t>
  </si>
  <si>
    <t>9787546920283</t>
  </si>
  <si>
    <t>9787546920023</t>
  </si>
  <si>
    <t>9787548801719</t>
  </si>
  <si>
    <t>9787561764428</t>
  </si>
  <si>
    <t>9787802065598</t>
  </si>
  <si>
    <t>9787802321946</t>
  </si>
  <si>
    <t>9787802446588</t>
  </si>
  <si>
    <t>9787805266503</t>
  </si>
  <si>
    <t>9787806019245</t>
  </si>
  <si>
    <t>7806461523</t>
  </si>
  <si>
    <t>9787807278146</t>
  </si>
  <si>
    <t>9787807278153</t>
  </si>
  <si>
    <t>9787807279488</t>
  </si>
  <si>
    <t>9787807334491</t>
  </si>
  <si>
    <t>7807401222</t>
  </si>
  <si>
    <t>9787807404095</t>
  </si>
  <si>
    <t>9787807424628</t>
  </si>
  <si>
    <t>9787807428367</t>
  </si>
  <si>
    <t>9787807428404</t>
  </si>
  <si>
    <t>9787807456049</t>
  </si>
  <si>
    <t>7807490977</t>
  </si>
  <si>
    <t>9787117101622</t>
  </si>
  <si>
    <t>9787117101639</t>
  </si>
  <si>
    <t>9787117101646</t>
  </si>
  <si>
    <t>9787117101738</t>
  </si>
  <si>
    <t>9787117101745</t>
  </si>
  <si>
    <t>9787117101752</t>
  </si>
  <si>
    <t>9787117101844</t>
  </si>
  <si>
    <t>9787117101851</t>
  </si>
  <si>
    <t>9787117101868</t>
  </si>
  <si>
    <t>7218051022</t>
  </si>
  <si>
    <t>9787219065822</t>
  </si>
  <si>
    <t>7301108478</t>
  </si>
  <si>
    <t>7500657102</t>
  </si>
  <si>
    <t>7501950903</t>
  </si>
  <si>
    <t>9787506297264</t>
  </si>
  <si>
    <t>7509104041</t>
  </si>
  <si>
    <t>9787509126516</t>
  </si>
  <si>
    <t>7532383032</t>
  </si>
  <si>
    <t>9787532748808</t>
  </si>
  <si>
    <t>9787535761262</t>
  </si>
  <si>
    <t>9787537155205</t>
  </si>
  <si>
    <t>9787538723410</t>
  </si>
  <si>
    <t>7538850953</t>
  </si>
  <si>
    <t>7543321068</t>
  </si>
  <si>
    <t>9787806638095</t>
  </si>
  <si>
    <t>7806895744</t>
  </si>
  <si>
    <t>7020033466</t>
  </si>
  <si>
    <t>702004414X</t>
  </si>
  <si>
    <t>7020044158</t>
  </si>
  <si>
    <t>7020044794</t>
  </si>
  <si>
    <t>7020045979</t>
  </si>
  <si>
    <t>702004641X</t>
  </si>
  <si>
    <t>7020046738</t>
  </si>
  <si>
    <t>7020047084</t>
  </si>
  <si>
    <t>7020047556</t>
  </si>
  <si>
    <t>7020048722</t>
  </si>
  <si>
    <t>7020050409</t>
  </si>
  <si>
    <t>7020050425</t>
  </si>
  <si>
    <t>7020050433</t>
  </si>
  <si>
    <t>7020050441</t>
  </si>
  <si>
    <t>702005045X</t>
  </si>
  <si>
    <t>7020050468</t>
  </si>
  <si>
    <t>7020059473</t>
  </si>
  <si>
    <t>7020059937</t>
  </si>
  <si>
    <t>7020060137</t>
  </si>
  <si>
    <t>9787020076079</t>
  </si>
  <si>
    <t>9787020077083</t>
  </si>
  <si>
    <t>7105067810</t>
  </si>
  <si>
    <t>710602547X</t>
  </si>
  <si>
    <t>7106025801</t>
  </si>
  <si>
    <t>9787108028778</t>
  </si>
  <si>
    <t>9787113090494</t>
  </si>
  <si>
    <t>9787205066956</t>
  </si>
  <si>
    <t>9787208067158</t>
  </si>
  <si>
    <t>721302809X</t>
  </si>
  <si>
    <t>9787229014230</t>
  </si>
  <si>
    <t>9787300113517</t>
  </si>
  <si>
    <t>9787300113555</t>
  </si>
  <si>
    <t>7301108419</t>
  </si>
  <si>
    <t>7301110936</t>
  </si>
  <si>
    <t>7301113641</t>
  </si>
  <si>
    <t>7301113668</t>
  </si>
  <si>
    <t>7301113781</t>
  </si>
  <si>
    <t>730111379X</t>
  </si>
  <si>
    <t>730111382X</t>
  </si>
  <si>
    <t>7301113854</t>
  </si>
  <si>
    <t>7301113889</t>
  </si>
  <si>
    <t>7301113897</t>
  </si>
  <si>
    <t>7301114095</t>
  </si>
  <si>
    <t>7301114109</t>
  </si>
  <si>
    <t>7301114125</t>
  </si>
  <si>
    <t>7301114370</t>
  </si>
  <si>
    <t>7301114613</t>
  </si>
  <si>
    <t>9787301151518</t>
  </si>
  <si>
    <t>9787301163382</t>
  </si>
  <si>
    <t>9787301177013</t>
  </si>
  <si>
    <t>9787301177754</t>
  </si>
  <si>
    <t>9787301192023</t>
  </si>
  <si>
    <t>7307044730</t>
  </si>
  <si>
    <t>9787307069756</t>
  </si>
  <si>
    <t>7309044614</t>
  </si>
  <si>
    <t>7309045971</t>
  </si>
  <si>
    <t>7309050037</t>
  </si>
  <si>
    <t>7309050622</t>
  </si>
  <si>
    <t>9787309064452</t>
  </si>
  <si>
    <t>9787309068948</t>
  </si>
  <si>
    <t>9787309074772</t>
  </si>
  <si>
    <t>7310017536</t>
  </si>
  <si>
    <t>7500454856</t>
  </si>
  <si>
    <t>9787500462064</t>
  </si>
  <si>
    <t>9787500475019</t>
  </si>
  <si>
    <t>9787500481300</t>
  </si>
  <si>
    <t>9787501178902</t>
  </si>
  <si>
    <t>9787501238156</t>
  </si>
  <si>
    <t>9787503939280</t>
  </si>
  <si>
    <t>9787503946394</t>
  </si>
  <si>
    <t>9787505417359</t>
  </si>
  <si>
    <t>9787505418165</t>
  </si>
  <si>
    <t>9787505424234</t>
  </si>
  <si>
    <t>9787506038355</t>
  </si>
  <si>
    <t>7506338459</t>
  </si>
  <si>
    <t>7506338467</t>
  </si>
  <si>
    <t>9787507522907</t>
  </si>
  <si>
    <t>9787507526936</t>
  </si>
  <si>
    <t>9787508622736</t>
  </si>
  <si>
    <t>9787510017988</t>
  </si>
  <si>
    <t>9787511303288</t>
  </si>
  <si>
    <t>9787530444702</t>
  </si>
  <si>
    <t>7530645404</t>
  </si>
  <si>
    <t>9787530652343</t>
  </si>
  <si>
    <t>9787530653500</t>
  </si>
  <si>
    <t>9787530655412</t>
  </si>
  <si>
    <t>9787530952016</t>
  </si>
  <si>
    <t>9787531336624</t>
  </si>
  <si>
    <t>9787531338024</t>
  </si>
  <si>
    <t>7532129039</t>
  </si>
  <si>
    <t>7532132161</t>
  </si>
  <si>
    <t>753254267X</t>
  </si>
  <si>
    <t>9787533263454</t>
  </si>
  <si>
    <t>9787533263461</t>
  </si>
  <si>
    <t>7533316525</t>
  </si>
  <si>
    <t>7533317599</t>
  </si>
  <si>
    <t>7533643097</t>
  </si>
  <si>
    <t>7533643593</t>
  </si>
  <si>
    <t>7534379458</t>
  </si>
  <si>
    <t>9787534831553</t>
  </si>
  <si>
    <t>7535434231</t>
  </si>
  <si>
    <t>9787535435101</t>
  </si>
  <si>
    <t>9787535436597</t>
  </si>
  <si>
    <t>9787535437709</t>
  </si>
  <si>
    <t>9787535441133</t>
  </si>
  <si>
    <t>9787535444059</t>
  </si>
  <si>
    <t>9787535838568</t>
  </si>
  <si>
    <t>9787535838575</t>
  </si>
  <si>
    <t>9787536058316</t>
  </si>
  <si>
    <t>9787536242678</t>
  </si>
  <si>
    <t>9787536694262</t>
  </si>
  <si>
    <t>9787537079105</t>
  </si>
  <si>
    <t>9787537191197</t>
  </si>
  <si>
    <t>9787537193276</t>
  </si>
  <si>
    <t>9787537194136</t>
  </si>
  <si>
    <t>9787538729795</t>
  </si>
  <si>
    <t>9787539930008</t>
  </si>
  <si>
    <t>9787539931661</t>
  </si>
  <si>
    <t>9787539932958</t>
  </si>
  <si>
    <t>9787540217754</t>
  </si>
  <si>
    <t>9787540314934</t>
  </si>
  <si>
    <t>9787541538063</t>
  </si>
  <si>
    <t>754262508X</t>
  </si>
  <si>
    <t>9787542635679</t>
  </si>
  <si>
    <t>9787543026766</t>
  </si>
  <si>
    <t>9787543026780</t>
  </si>
  <si>
    <t>9787543026797</t>
  </si>
  <si>
    <t>9787543035669</t>
  </si>
  <si>
    <t>9787544143141</t>
  </si>
  <si>
    <t>9787544243919</t>
  </si>
  <si>
    <t>9787545500943</t>
  </si>
  <si>
    <t>9787546914367</t>
  </si>
  <si>
    <t>9787546921686</t>
  </si>
  <si>
    <t>9787546925103</t>
  </si>
  <si>
    <t>9787546926735</t>
  </si>
  <si>
    <t>9787547203361</t>
  </si>
  <si>
    <t>9787551520416</t>
  </si>
  <si>
    <t>9787561345191</t>
  </si>
  <si>
    <t>7561743645</t>
  </si>
  <si>
    <t>9787563366262</t>
  </si>
  <si>
    <t>9787563382828</t>
  </si>
  <si>
    <t>9787563384662</t>
  </si>
  <si>
    <t>9787800809071</t>
  </si>
  <si>
    <t>9787800809897</t>
  </si>
  <si>
    <t>9787800942419</t>
  </si>
  <si>
    <t>9787801405777</t>
  </si>
  <si>
    <t>9787801738547</t>
  </si>
  <si>
    <t>9787801759092</t>
  </si>
  <si>
    <t>7801864808</t>
  </si>
  <si>
    <t>9787801868923</t>
  </si>
  <si>
    <t>7802220467</t>
  </si>
  <si>
    <t>9787802445352</t>
  </si>
  <si>
    <t>9787802446274</t>
  </si>
  <si>
    <t>9787802446458</t>
  </si>
  <si>
    <t>7806768947</t>
  </si>
  <si>
    <t>9787806787519</t>
  </si>
  <si>
    <t>9787806806449</t>
  </si>
  <si>
    <t>9787806867211</t>
  </si>
  <si>
    <t>7807301899</t>
  </si>
  <si>
    <t>9787807419471</t>
  </si>
  <si>
    <t>9787807425847</t>
  </si>
  <si>
    <t>9787807425854</t>
  </si>
  <si>
    <t>9787807427810</t>
  </si>
  <si>
    <t>9787807428107</t>
  </si>
  <si>
    <t>9787807428114</t>
  </si>
  <si>
    <t>9787807428183</t>
  </si>
  <si>
    <t>9787807428206</t>
  </si>
  <si>
    <t>9787807556664</t>
  </si>
  <si>
    <t>9787807611868</t>
  </si>
  <si>
    <t>9787807652892</t>
  </si>
  <si>
    <t>9787811195347</t>
  </si>
  <si>
    <t>9787811195385</t>
  </si>
  <si>
    <t>9787811195408</t>
  </si>
  <si>
    <t>9787811197563</t>
  </si>
  <si>
    <t>9787811198409</t>
  </si>
  <si>
    <t>9787010066349</t>
  </si>
  <si>
    <t>7020038433</t>
  </si>
  <si>
    <t>9787030196231</t>
  </si>
  <si>
    <t>9787030262950</t>
  </si>
  <si>
    <t>9787030271037</t>
  </si>
  <si>
    <t>9787100061902</t>
  </si>
  <si>
    <t>9787100066242</t>
  </si>
  <si>
    <t>9787104032687</t>
  </si>
  <si>
    <t>9787106027773</t>
  </si>
  <si>
    <t>9787108030450</t>
  </si>
  <si>
    <t>9787111311638</t>
  </si>
  <si>
    <t>7112075297</t>
  </si>
  <si>
    <t>9787119064000</t>
  </si>
  <si>
    <t>9787201061993</t>
  </si>
  <si>
    <t>9787208073807</t>
  </si>
  <si>
    <t>7209041710</t>
  </si>
  <si>
    <t>9787209041911</t>
  </si>
  <si>
    <t>7209042202</t>
  </si>
  <si>
    <t>9787209042307</t>
  </si>
  <si>
    <t>7209042563</t>
  </si>
  <si>
    <t>9787209050784</t>
  </si>
  <si>
    <t>9787209050807</t>
  </si>
  <si>
    <t>9787209051071</t>
  </si>
  <si>
    <t>7213025554</t>
  </si>
  <si>
    <t>9787214056931</t>
  </si>
  <si>
    <t>7218042740</t>
  </si>
  <si>
    <t>9787218068282</t>
  </si>
  <si>
    <t>9787224092059</t>
  </si>
  <si>
    <t>9787224092080</t>
  </si>
  <si>
    <t>7300077668</t>
  </si>
  <si>
    <t>9787300101132</t>
  </si>
  <si>
    <t>730110815X</t>
  </si>
  <si>
    <t>730111284X</t>
  </si>
  <si>
    <t>9787301147450</t>
  </si>
  <si>
    <t>9787301147665</t>
  </si>
  <si>
    <t>9787301161722</t>
  </si>
  <si>
    <t>7309025164</t>
  </si>
  <si>
    <t>7309038193</t>
  </si>
  <si>
    <t>7309039688</t>
  </si>
  <si>
    <t>7309041240</t>
  </si>
  <si>
    <t>7309044908</t>
  </si>
  <si>
    <t>7309046293</t>
  </si>
  <si>
    <t>9787500481942</t>
  </si>
  <si>
    <t>9787500483199</t>
  </si>
  <si>
    <t>9787500484288</t>
  </si>
  <si>
    <t>7500594313</t>
  </si>
  <si>
    <t>9787500931720</t>
  </si>
  <si>
    <t>7501327459</t>
  </si>
  <si>
    <t>7501327661</t>
  </si>
  <si>
    <t>9787501755189</t>
  </si>
  <si>
    <t>9787501794102</t>
  </si>
  <si>
    <t>7503226447</t>
  </si>
  <si>
    <t>9787504468567</t>
  </si>
  <si>
    <t>9787504656711</t>
  </si>
  <si>
    <t>9787505422872</t>
  </si>
  <si>
    <t>9787505422933</t>
  </si>
  <si>
    <t>9787505422940</t>
  </si>
  <si>
    <t>9787505422964</t>
  </si>
  <si>
    <t>9787506295949</t>
  </si>
  <si>
    <t>9787507832266</t>
  </si>
  <si>
    <t>9787508609997</t>
  </si>
  <si>
    <t>9787509713624</t>
  </si>
  <si>
    <t>9787509714300</t>
  </si>
  <si>
    <t>9787509714478</t>
  </si>
  <si>
    <t>9787509714720</t>
  </si>
  <si>
    <t>9787509714737</t>
  </si>
  <si>
    <t>9787509715826</t>
  </si>
  <si>
    <t>9787509715970</t>
  </si>
  <si>
    <t>9787509806609</t>
  </si>
  <si>
    <t>9787510014147</t>
  </si>
  <si>
    <t>9787510018053</t>
  </si>
  <si>
    <t>9787510018800</t>
  </si>
  <si>
    <t>9787510036736</t>
  </si>
  <si>
    <t>7532131491</t>
  </si>
  <si>
    <t>7532244288</t>
  </si>
  <si>
    <t>7532540340</t>
  </si>
  <si>
    <t>7532737381</t>
  </si>
  <si>
    <t>9787532737390</t>
  </si>
  <si>
    <t>7532737403</t>
  </si>
  <si>
    <t>9787533321192</t>
  </si>
  <si>
    <t>9787534756962</t>
  </si>
  <si>
    <t>9787534757020</t>
  </si>
  <si>
    <t>7535548172</t>
  </si>
  <si>
    <t>9787536691704</t>
  </si>
  <si>
    <t>9787539626635</t>
  </si>
  <si>
    <t>9787541030482</t>
  </si>
  <si>
    <t>9787542510068</t>
  </si>
  <si>
    <t>9787542510358</t>
  </si>
  <si>
    <t>7543212153</t>
  </si>
  <si>
    <t>9787544420297</t>
  </si>
  <si>
    <t>9787546614601</t>
  </si>
  <si>
    <t>9787546915081</t>
  </si>
  <si>
    <t>9787546922379</t>
  </si>
  <si>
    <t>9787546922348</t>
  </si>
  <si>
    <t>9787546922362</t>
  </si>
  <si>
    <t>9787546922331</t>
  </si>
  <si>
    <t>9787546922324</t>
  </si>
  <si>
    <t>9787546922355</t>
  </si>
  <si>
    <t>9787546922317</t>
  </si>
  <si>
    <t>9787547300459</t>
  </si>
  <si>
    <t>9787560067230</t>
  </si>
  <si>
    <t>7561720424</t>
  </si>
  <si>
    <t>9787561723319</t>
  </si>
  <si>
    <t>7561743394</t>
  </si>
  <si>
    <t>7561745206</t>
  </si>
  <si>
    <t>7561745214</t>
  </si>
  <si>
    <t>7561745451</t>
  </si>
  <si>
    <t>756174546X</t>
  </si>
  <si>
    <t>7561745532</t>
  </si>
  <si>
    <t>7561746148</t>
  </si>
  <si>
    <t>7563363327</t>
  </si>
  <si>
    <t>9787563394197</t>
  </si>
  <si>
    <t>9787565000737</t>
  </si>
  <si>
    <t>9787801459466</t>
  </si>
  <si>
    <t>9787801883940</t>
  </si>
  <si>
    <t>9787802085343</t>
  </si>
  <si>
    <t>9787802085350</t>
  </si>
  <si>
    <t>9787802166004</t>
  </si>
  <si>
    <t>9787802284906</t>
  </si>
  <si>
    <t>9787802434448</t>
  </si>
  <si>
    <t>9787802440968</t>
  </si>
  <si>
    <t>9787802441378</t>
  </si>
  <si>
    <t>9787802442122</t>
  </si>
  <si>
    <t>9787802444195</t>
  </si>
  <si>
    <t>9787802444201</t>
  </si>
  <si>
    <t>9787802444218</t>
  </si>
  <si>
    <t>9787802445369</t>
  </si>
  <si>
    <t>9787802446052</t>
  </si>
  <si>
    <t>9787802514348</t>
  </si>
  <si>
    <t>7806598804</t>
  </si>
  <si>
    <t>7806655646</t>
  </si>
  <si>
    <t>7806784659</t>
  </si>
  <si>
    <t>7806794611</t>
  </si>
  <si>
    <t>7806797122</t>
  </si>
  <si>
    <t>7806855114</t>
  </si>
  <si>
    <t>9787807066002</t>
  </si>
  <si>
    <t>9787807246077</t>
  </si>
  <si>
    <t>9787807294733</t>
  </si>
  <si>
    <t>9787807419372</t>
  </si>
  <si>
    <t>9787807428688</t>
  </si>
  <si>
    <t>9787807456735</t>
  </si>
  <si>
    <t>9787807456926</t>
  </si>
  <si>
    <t>9787807456995</t>
  </si>
  <si>
    <t>9787807533887</t>
  </si>
  <si>
    <t>9787807614166</t>
  </si>
  <si>
    <t>9787811183924</t>
  </si>
  <si>
    <t>9787811195057</t>
  </si>
  <si>
    <t>9787811197549</t>
  </si>
  <si>
    <t>9787811248777</t>
  </si>
  <si>
    <t>9787811271676</t>
  </si>
  <si>
    <t>邱昌員</t>
  </si>
  <si>
    <t>榮新</t>
  </si>
  <si>
    <t>吳敢</t>
  </si>
  <si>
    <t>詹頌</t>
  </si>
  <si>
    <t>肖佩華</t>
  </si>
  <si>
    <t>高光起著</t>
  </si>
  <si>
    <t>徐文君</t>
  </si>
  <si>
    <t>張同勝</t>
  </si>
  <si>
    <t>.</t>
  </si>
  <si>
    <t>崔鍾雷</t>
  </si>
  <si>
    <t>張清華著</t>
  </si>
  <si>
    <t>編委會</t>
  </si>
  <si>
    <t>吳組緗</t>
  </si>
  <si>
    <t>王齊州</t>
  </si>
  <si>
    <t>王齊州. 著</t>
  </si>
  <si>
    <t>朱萍</t>
  </si>
  <si>
    <t>何建超 吳廣懷</t>
  </si>
  <si>
    <t>侯惠勤</t>
  </si>
  <si>
    <t>於堅. 等著</t>
  </si>
  <si>
    <t>殷國光</t>
  </si>
  <si>
    <t>楊玉芬</t>
  </si>
  <si>
    <t>蔣寅</t>
  </si>
  <si>
    <t>王樹林著</t>
  </si>
  <si>
    <t>木齋著</t>
  </si>
  <si>
    <t>趙敏俐編</t>
  </si>
  <si>
    <t>柏冬友</t>
  </si>
  <si>
    <t>傅漢思</t>
  </si>
  <si>
    <t>王金泰編繪</t>
  </si>
  <si>
    <t>鄧軍</t>
  </si>
  <si>
    <t>李康化</t>
  </si>
  <si>
    <t>孫侃</t>
  </si>
  <si>
    <t>蘇瓊</t>
  </si>
  <si>
    <t>王飛躍</t>
  </si>
  <si>
    <t>杜建華</t>
  </si>
  <si>
    <t>柳隱溪</t>
  </si>
  <si>
    <t>陸暉</t>
  </si>
  <si>
    <t>康震</t>
  </si>
  <si>
    <t>謝無量</t>
  </si>
  <si>
    <t>北京大學文獻研究所編</t>
  </si>
  <si>
    <t>北京大學古文獻研究所編</t>
  </si>
  <si>
    <t>許結</t>
  </si>
  <si>
    <t>向回</t>
  </si>
  <si>
    <t>餘來明</t>
  </si>
  <si>
    <t>彭萬隆</t>
  </si>
  <si>
    <t>李其綱</t>
  </si>
  <si>
    <t>任德魁. 著</t>
  </si>
  <si>
    <t>胡大雷</t>
  </si>
  <si>
    <t>楊仲文</t>
  </si>
  <si>
    <t>徐安琪</t>
  </si>
  <si>
    <t>胡傳志</t>
  </si>
  <si>
    <t>閔豐</t>
  </si>
  <si>
    <t>沙先一</t>
  </si>
  <si>
    <t>李丹</t>
  </si>
  <si>
    <t>徐宏圖著</t>
  </si>
  <si>
    <t>餘意</t>
  </si>
  <si>
    <t>孫虹</t>
  </si>
  <si>
    <t>陳多</t>
  </si>
  <si>
    <t>王煒. 著</t>
  </si>
  <si>
    <t>盛志梅</t>
  </si>
  <si>
    <t>李兆祿</t>
  </si>
  <si>
    <t>劉衛東</t>
  </si>
  <si>
    <t>張桂林</t>
  </si>
  <si>
    <t>鄭明璋</t>
  </si>
  <si>
    <t>範麗敏</t>
  </si>
  <si>
    <t>嚴家炎著</t>
  </si>
  <si>
    <t>聞一多著</t>
  </si>
  <si>
    <t>楊寶春著</t>
  </si>
  <si>
    <t>流珠著</t>
  </si>
  <si>
    <t>洛齊繪畫</t>
  </si>
  <si>
    <t>黃志華等</t>
  </si>
  <si>
    <t>梁錫鋒著</t>
  </si>
  <si>
    <t>黃霖</t>
  </si>
  <si>
    <t>汪湧豪</t>
  </si>
  <si>
    <t>張世斌</t>
  </si>
  <si>
    <t>高航</t>
  </si>
  <si>
    <t>楊和傑</t>
  </si>
  <si>
    <t>黃美序</t>
  </si>
  <si>
    <t>劉尊明</t>
  </si>
  <si>
    <t>吳梅著</t>
  </si>
  <si>
    <t>羅語</t>
  </si>
  <si>
    <t>廖康強</t>
  </si>
  <si>
    <t>周嘯天編著</t>
  </si>
  <si>
    <t>羅鷺著</t>
  </si>
  <si>
    <t>李保華</t>
  </si>
  <si>
    <t>鍾 濤編著</t>
  </si>
  <si>
    <t>徐文凱</t>
  </si>
  <si>
    <t>梁啟超</t>
  </si>
  <si>
    <t>陸建華</t>
  </si>
  <si>
    <t>方紅梅著</t>
  </si>
  <si>
    <t>中國移動通信聯合會課題組</t>
  </si>
  <si>
    <t>王崗.傅秋爽主編</t>
  </si>
  <si>
    <t>邊家珍</t>
  </si>
  <si>
    <t>張明華</t>
  </si>
  <si>
    <t>張光興</t>
  </si>
  <si>
    <t>袁行霈</t>
  </si>
  <si>
    <t>陳友冰</t>
  </si>
  <si>
    <t>李鳳亮</t>
  </si>
  <si>
    <t>吳建生</t>
  </si>
  <si>
    <t>《音韻學方法論討論集》編輯組 編</t>
  </si>
  <si>
    <t>喬永</t>
  </si>
  <si>
    <t>中國訓詁學會《中國訓詁學報》編輯部 編</t>
  </si>
  <si>
    <t>溫朔彬</t>
  </si>
  <si>
    <t>張元濟著</t>
  </si>
  <si>
    <t>傅璿琮</t>
  </si>
  <si>
    <t>周燕芬</t>
  </si>
  <si>
    <t>湖南善後協會編纂</t>
  </si>
  <si>
    <t>花沙納</t>
  </si>
  <si>
    <t>王宇</t>
  </si>
  <si>
    <t>詹福瑞著</t>
  </si>
  <si>
    <t>陳美東著</t>
  </si>
  <si>
    <t>苗懷明</t>
  </si>
  <si>
    <t>金程式</t>
  </si>
  <si>
    <t>杜桂萍</t>
  </si>
  <si>
    <t>李曉燕著</t>
  </si>
  <si>
    <t>寧磊. 著</t>
  </si>
  <si>
    <t>許地山</t>
  </si>
  <si>
    <t>鄭振鐸著</t>
  </si>
  <si>
    <t>波普爾</t>
  </si>
  <si>
    <t>吳琛瑜. 著</t>
  </si>
  <si>
    <t>宋大琦</t>
  </si>
  <si>
    <t>張濤</t>
  </si>
  <si>
    <t>阮忠</t>
  </si>
  <si>
    <t>饒凡子</t>
  </si>
  <si>
    <t>荀子</t>
  </si>
  <si>
    <t>王麗麗</t>
  </si>
  <si>
    <t>劉師培著</t>
  </si>
  <si>
    <t>中央電視臺《百家講壇》欄目組</t>
  </si>
  <si>
    <t>蔡鍾翔 黃保真 成複旺</t>
  </si>
  <si>
    <t>成複旺 黃保真 蔡鍾翔</t>
  </si>
  <si>
    <t>成複旺 蔡鍾翔 黃保真</t>
  </si>
  <si>
    <t>黃保真 蔡鍾翔 成複旺</t>
  </si>
  <si>
    <t>黃保真 成複旺 蔡鍾翔</t>
  </si>
  <si>
    <t>魏常海</t>
  </si>
  <si>
    <t>謝冕</t>
  </si>
  <si>
    <t>謝無量著</t>
  </si>
  <si>
    <t>范伯群</t>
  </si>
  <si>
    <t>燕繼榮</t>
  </si>
  <si>
    <t>喬以鋼</t>
  </si>
  <si>
    <t>北京大學中國詩歌研究院</t>
  </si>
  <si>
    <t>王作全</t>
  </si>
  <si>
    <t>黃梅</t>
  </si>
  <si>
    <t>餘虹</t>
  </si>
  <si>
    <t>王其鈞</t>
  </si>
  <si>
    <t>霍華</t>
  </si>
  <si>
    <t>錢念孫</t>
  </si>
  <si>
    <t>費孝通</t>
  </si>
  <si>
    <t>何茲全</t>
  </si>
  <si>
    <t>陳平原</t>
  </si>
  <si>
    <t>武玉梅</t>
  </si>
  <si>
    <t>洪子誠</t>
  </si>
  <si>
    <t>孫鶴</t>
  </si>
  <si>
    <t>馬慶洲</t>
  </si>
  <si>
    <t>張蔭麟</t>
  </si>
  <si>
    <t>程光煒編</t>
  </si>
  <si>
    <t>王倩</t>
  </si>
  <si>
    <t>何寄澎</t>
  </si>
  <si>
    <t>何兆武</t>
  </si>
  <si>
    <t>汝企和 主編</t>
  </si>
  <si>
    <t>周憲編</t>
  </si>
  <si>
    <t>蔣廣學. 主編</t>
  </si>
  <si>
    <t>陳國恩</t>
  </si>
  <si>
    <t>朱東潤</t>
  </si>
  <si>
    <t>王煥鑣</t>
  </si>
  <si>
    <t>姜義華</t>
  </si>
  <si>
    <t>張莉. 著</t>
  </si>
  <si>
    <t>江一帆</t>
  </si>
  <si>
    <t>陳勇</t>
  </si>
  <si>
    <t>張啟華</t>
  </si>
  <si>
    <t>李豔紅</t>
  </si>
  <si>
    <t>羅蓧玉</t>
  </si>
  <si>
    <t>陳允鋒</t>
  </si>
  <si>
    <t>汪兆鏞</t>
  </si>
  <si>
    <t>劉茲恒</t>
  </si>
  <si>
    <t>江向東</t>
  </si>
  <si>
    <t>彭緒庶</t>
  </si>
  <si>
    <t>苑克儷</t>
  </si>
  <si>
    <t>喬冬梅</t>
  </si>
  <si>
    <t>丁立中</t>
  </si>
  <si>
    <t>劉德清</t>
  </si>
  <si>
    <t>楊豔燕編</t>
  </si>
  <si>
    <t>王忠偉.費素斌主編</t>
  </si>
  <si>
    <t>王忠偉.王書漢主編</t>
  </si>
  <si>
    <t>水渭松</t>
  </si>
  <si>
    <t>趙儷生著</t>
  </si>
  <si>
    <t>王瑞明、張全明著</t>
  </si>
  <si>
    <t>錢伯城編著</t>
  </si>
  <si>
    <t>張覺編著</t>
  </si>
  <si>
    <t>張志江</t>
  </si>
  <si>
    <t>聶鴻音. 孫伯君. 編</t>
  </si>
  <si>
    <t>左懷建</t>
  </si>
  <si>
    <t>宋浩浩</t>
  </si>
  <si>
    <t>李妙根</t>
  </si>
  <si>
    <t>李熾昌</t>
  </si>
  <si>
    <t>劉正剛</t>
  </si>
  <si>
    <t>(清)潘祖蔭</t>
  </si>
  <si>
    <t>林繼中</t>
  </si>
  <si>
    <t>程水龍</t>
  </si>
  <si>
    <t>孫啟治</t>
  </si>
  <si>
    <t>武漢大學簡帛研究中心</t>
  </si>
  <si>
    <t>楊明. 著</t>
  </si>
  <si>
    <t>馮沅君</t>
  </si>
  <si>
    <t>杜貴晨</t>
  </si>
  <si>
    <t>王琳</t>
  </si>
  <si>
    <t>王恒展</t>
  </si>
  <si>
    <t>王健</t>
  </si>
  <si>
    <t>傅璿宗</t>
  </si>
  <si>
    <t>楊希武</t>
  </si>
  <si>
    <t>臧嶸</t>
  </si>
  <si>
    <t>陳清茹</t>
  </si>
  <si>
    <t>中國協作</t>
  </si>
  <si>
    <t>餘嘉錫</t>
  </si>
  <si>
    <t>鄒巔著</t>
  </si>
  <si>
    <t>劉學</t>
  </si>
  <si>
    <t>鄭海麟. 著</t>
  </si>
  <si>
    <t>江心力著</t>
  </si>
  <si>
    <t>王輝斌</t>
  </si>
  <si>
    <t>周可真</t>
  </si>
  <si>
    <t>張可禮編著</t>
  </si>
  <si>
    <t>沈津</t>
  </si>
  <si>
    <t>(日)永田英正</t>
  </si>
  <si>
    <t>楊希枚著</t>
  </si>
  <si>
    <t>陳杜</t>
  </si>
  <si>
    <t>鄭振鐸. 著</t>
  </si>
  <si>
    <t>余江</t>
  </si>
  <si>
    <t>沈鈞儒</t>
  </si>
  <si>
    <t>麻星甫</t>
  </si>
  <si>
    <t>黎娜</t>
  </si>
  <si>
    <t>郭建著</t>
  </si>
  <si>
    <t>陳祖武</t>
  </si>
  <si>
    <t>常秉義</t>
  </si>
  <si>
    <t>季羨林</t>
  </si>
  <si>
    <t>林存光</t>
  </si>
  <si>
    <t>司馬光</t>
  </si>
  <si>
    <t>王瑞華著</t>
  </si>
  <si>
    <t>王兆勝</t>
  </si>
  <si>
    <t>饒鴻競 等</t>
  </si>
  <si>
    <t>程金城</t>
  </si>
  <si>
    <t>何曉明</t>
  </si>
  <si>
    <t>許總</t>
  </si>
  <si>
    <t>陳居淵</t>
  </si>
  <si>
    <t>郭延禮</t>
  </si>
  <si>
    <t>劉松來</t>
  </si>
  <si>
    <t>李怡</t>
  </si>
  <si>
    <t>林成西</t>
  </si>
  <si>
    <t>楊牧之</t>
  </si>
  <si>
    <t>彭先國</t>
  </si>
  <si>
    <t>張振鏞</t>
  </si>
  <si>
    <t>(宋)章如愚輯</t>
  </si>
  <si>
    <t>浦江清</t>
  </si>
  <si>
    <t>浦漢明，彭書麟整理</t>
  </si>
  <si>
    <t>崔雲勝</t>
  </si>
  <si>
    <t>韓理洲</t>
  </si>
  <si>
    <t>陳應鸞著</t>
  </si>
  <si>
    <t>段麗萍</t>
  </si>
  <si>
    <t>劉傅鴻</t>
  </si>
  <si>
    <t>岳凱華</t>
  </si>
  <si>
    <t>唐代興</t>
  </si>
  <si>
    <t>王彤偉</t>
  </si>
  <si>
    <t>劉玉珺. 著</t>
  </si>
  <si>
    <t>羅國威著</t>
  </si>
  <si>
    <t>曾加榮. 著</t>
  </si>
  <si>
    <t>曾    軍</t>
  </si>
  <si>
    <t>劉訓練</t>
  </si>
  <si>
    <t>解放著</t>
  </si>
  <si>
    <t>馬家鼎</t>
  </si>
  <si>
    <t>楊學為</t>
  </si>
  <si>
    <t>胡雙寶著</t>
  </si>
  <si>
    <t>鄭先興</t>
  </si>
  <si>
    <t>墨刻編輯部</t>
  </si>
  <si>
    <t>斯雄</t>
  </si>
  <si>
    <t>余石</t>
  </si>
  <si>
    <t>李穗梅</t>
  </si>
  <si>
    <t>慶學先</t>
  </si>
  <si>
    <t>田衛疆</t>
  </si>
  <si>
    <t>袁祖亮.袁延勝.朱和平</t>
  </si>
  <si>
    <t>趙予征</t>
  </si>
  <si>
    <t>張建國.薛群慧著</t>
  </si>
  <si>
    <t>韋明鏵</t>
  </si>
  <si>
    <t>杜海</t>
  </si>
  <si>
    <t>韋艾佳</t>
  </si>
  <si>
    <t>羅江南</t>
  </si>
  <si>
    <t>陳祖芬</t>
  </si>
  <si>
    <t>楊耀健</t>
  </si>
  <si>
    <t>盧建文</t>
  </si>
  <si>
    <t>中共寧波市委宣傳部</t>
  </si>
  <si>
    <t>南翔</t>
  </si>
  <si>
    <t>朱淨宇著</t>
  </si>
  <si>
    <t>左學金</t>
  </si>
  <si>
    <t>肖安民. 主編</t>
  </si>
  <si>
    <t>楊柳</t>
  </si>
  <si>
    <t>傅為群</t>
  </si>
  <si>
    <t>白潔 藺開慶</t>
  </si>
  <si>
    <t>王秀亮</t>
  </si>
  <si>
    <t>李鋒</t>
  </si>
  <si>
    <t>王榮敏 劉德寶</t>
  </si>
  <si>
    <t>趙曉明 王聿發</t>
  </si>
  <si>
    <t>李永敏</t>
  </si>
  <si>
    <t>石振懷</t>
  </si>
  <si>
    <t>王曉華</t>
  </si>
  <si>
    <t>王海冬. 著</t>
  </si>
  <si>
    <t>章慧敏. 著</t>
  </si>
  <si>
    <t>王宏剛. 張安巡. 編著</t>
  </si>
  <si>
    <t>許雲倩. 著</t>
  </si>
  <si>
    <t>陸幸生. 著</t>
  </si>
  <si>
    <t>楊秀麗. 著</t>
  </si>
  <si>
    <t>張明是. 著</t>
  </si>
  <si>
    <t>李陽泉</t>
  </si>
  <si>
    <t>果美俠</t>
  </si>
  <si>
    <t>江蘇省檔案館</t>
  </si>
  <si>
    <t>丁世華著</t>
  </si>
  <si>
    <t>馬建安</t>
  </si>
  <si>
    <t>陸偉芳</t>
  </si>
  <si>
    <t>張美林</t>
  </si>
  <si>
    <t>董玉書</t>
  </si>
  <si>
    <t>潘寶明</t>
  </si>
  <si>
    <t>吳子輝</t>
  </si>
  <si>
    <t>張紹誠</t>
  </si>
  <si>
    <t>甯南縣政協文史委員會編</t>
  </si>
  <si>
    <t>柯林</t>
  </si>
  <si>
    <t>黃濂</t>
  </si>
  <si>
    <t>朱敏彥</t>
  </si>
  <si>
    <t>黃繼林</t>
  </si>
  <si>
    <t>方帆/劉光平</t>
  </si>
  <si>
    <t>趙曉鷹</t>
  </si>
  <si>
    <t>楊旭恒 羅寧</t>
  </si>
  <si>
    <t>神秘中國創作組</t>
  </si>
  <si>
    <t>袁念琪著</t>
  </si>
  <si>
    <t>王亞菲著</t>
  </si>
  <si>
    <t>孫若怡著</t>
  </si>
  <si>
    <t>曹書傑.楊棟著</t>
  </si>
  <si>
    <t>李清志</t>
  </si>
  <si>
    <t>唐克揚</t>
  </si>
  <si>
    <t>李立新</t>
  </si>
  <si>
    <t>韓康信</t>
  </si>
  <si>
    <t>王小蘭主編</t>
  </si>
  <si>
    <t>塗鵬</t>
  </si>
  <si>
    <t>陳志春主編</t>
  </si>
  <si>
    <t>王大慶</t>
  </si>
  <si>
    <t>張亞祥. 著</t>
  </si>
  <si>
    <t>林美慧著</t>
  </si>
  <si>
    <t>廣西壯族自治區博物館編</t>
  </si>
  <si>
    <t>胡元翎</t>
  </si>
  <si>
    <t>李東來</t>
  </si>
  <si>
    <t>梁欣立</t>
  </si>
  <si>
    <t>趙振華</t>
  </si>
  <si>
    <t>梁欣立著</t>
  </si>
  <si>
    <t>邵忠</t>
  </si>
  <si>
    <t>馮紀忠</t>
  </si>
  <si>
    <t>天壇管理處</t>
  </si>
  <si>
    <t>徐征</t>
  </si>
  <si>
    <t>祝帥</t>
  </si>
  <si>
    <t>編委</t>
  </si>
  <si>
    <t>蔡俊生. 著</t>
  </si>
  <si>
    <t>王世仁著</t>
  </si>
  <si>
    <t>於茂世. 編</t>
  </si>
  <si>
    <t>羅國振</t>
  </si>
  <si>
    <t>鄭時齡</t>
  </si>
  <si>
    <t>成都市社會科學院</t>
  </si>
  <si>
    <t>湖南省文物考古研究所</t>
  </si>
  <si>
    <t>張潤武</t>
  </si>
  <si>
    <t>康晶</t>
  </si>
  <si>
    <t>吳越</t>
  </si>
  <si>
    <t>謝宇</t>
  </si>
  <si>
    <t>吳祚來</t>
  </si>
  <si>
    <t>吳倩編著</t>
  </si>
  <si>
    <t>肖左編著</t>
  </si>
  <si>
    <t>倪雪編著</t>
  </si>
  <si>
    <t>吳瓊編著</t>
  </si>
  <si>
    <t>唐冉主編</t>
  </si>
  <si>
    <t>章小溪編著</t>
  </si>
  <si>
    <t>端木賜香編著</t>
  </si>
  <si>
    <t>常素霞</t>
  </si>
  <si>
    <t>展望</t>
  </si>
  <si>
    <t>哈里森</t>
  </si>
  <si>
    <t>劉佳維</t>
  </si>
  <si>
    <t>李知宴</t>
  </si>
  <si>
    <t>張金明</t>
  </si>
  <si>
    <t>耿波</t>
  </si>
  <si>
    <t>朱建軍</t>
  </si>
  <si>
    <t>施旭升著</t>
  </si>
  <si>
    <t>易存國</t>
  </si>
  <si>
    <t>黨春直</t>
  </si>
  <si>
    <t>汝信</t>
  </si>
  <si>
    <t>李行遠</t>
  </si>
  <si>
    <t>黑馬</t>
  </si>
  <si>
    <t>王汀</t>
  </si>
  <si>
    <t>姚玳玫. 著</t>
  </si>
  <si>
    <t>張夫也</t>
  </si>
  <si>
    <t>張夫也著</t>
  </si>
  <si>
    <t>阿簡</t>
  </si>
  <si>
    <t>林佳莉</t>
  </si>
  <si>
    <t>張鬱乎. 著</t>
  </si>
  <si>
    <t>黃會林. 史可揚. 主編</t>
  </si>
  <si>
    <t>黃曉峰</t>
  </si>
  <si>
    <t>魏力群</t>
  </si>
  <si>
    <t>丁文父</t>
  </si>
  <si>
    <t>望野</t>
  </si>
  <si>
    <t>趙力光著</t>
  </si>
  <si>
    <t>王興</t>
  </si>
  <si>
    <t>南京博物院、江蘇省考古研究所編著</t>
  </si>
  <si>
    <t>陳道義</t>
  </si>
  <si>
    <t>佚名</t>
  </si>
  <si>
    <t>徐光偉</t>
  </si>
  <si>
    <t>張弓著</t>
  </si>
  <si>
    <t>中華人民共和國瀕危物種進出口管理辦公室</t>
  </si>
  <si>
    <t>羅怡</t>
  </si>
  <si>
    <t>白庚勝</t>
  </si>
  <si>
    <t>張燕鷹</t>
  </si>
  <si>
    <t>王士如</t>
  </si>
  <si>
    <t>尤珈</t>
  </si>
  <si>
    <t>龍頌江</t>
  </si>
  <si>
    <t>王麗陽</t>
  </si>
  <si>
    <t>王良範</t>
  </si>
  <si>
    <t>周傳家</t>
  </si>
  <si>
    <t>靳之林</t>
  </si>
  <si>
    <t>王海霞</t>
  </si>
  <si>
    <t>(清)陸廷燦</t>
  </si>
  <si>
    <t>于慶成</t>
  </si>
  <si>
    <t>于文波</t>
  </si>
  <si>
    <t>章錦榮</t>
  </si>
  <si>
    <t>王嶽</t>
  </si>
  <si>
    <t>陳棟玲</t>
  </si>
  <si>
    <t>古棕</t>
  </si>
  <si>
    <t>王炳耀</t>
  </si>
  <si>
    <t>劉軍</t>
  </si>
  <si>
    <t>任煥斌</t>
  </si>
  <si>
    <t>劉成喻</t>
  </si>
  <si>
    <t>賈憲明</t>
  </si>
  <si>
    <t>張曉冬</t>
  </si>
  <si>
    <t>李永</t>
  </si>
  <si>
    <t>張浩達</t>
  </si>
  <si>
    <t>周傑</t>
  </si>
  <si>
    <t>張天翼</t>
  </si>
  <si>
    <t>羅文華</t>
  </si>
  <si>
    <t>趙暉</t>
  </si>
  <si>
    <t>範婉</t>
  </si>
  <si>
    <t>李菀</t>
  </si>
  <si>
    <t>王增陵</t>
  </si>
  <si>
    <t>魏文源. 編</t>
  </si>
  <si>
    <t>祝君波</t>
  </si>
  <si>
    <t>夏燕靖</t>
  </si>
  <si>
    <t>章國慶</t>
  </si>
  <si>
    <t>楊建華著</t>
  </si>
  <si>
    <t>梁志偉</t>
  </si>
  <si>
    <t>俞瑩</t>
  </si>
  <si>
    <t>田川流</t>
  </si>
  <si>
    <t>彭長榮</t>
  </si>
  <si>
    <t>尋根雜誌</t>
  </si>
  <si>
    <t>錢君匋. 主編</t>
  </si>
  <si>
    <t>朱和平</t>
  </si>
  <si>
    <t>許煥崗</t>
  </si>
  <si>
    <t>何香凝美術館編</t>
  </si>
  <si>
    <t>梁江</t>
  </si>
  <si>
    <t>[元]陸友</t>
  </si>
  <si>
    <t>潘耀昌</t>
  </si>
  <si>
    <t>明瓚. 著</t>
  </si>
  <si>
    <t>陳綏祥</t>
  </si>
  <si>
    <t>董立軍</t>
  </si>
  <si>
    <t>雷子</t>
  </si>
  <si>
    <t>劉二剛</t>
  </si>
  <si>
    <t>朱新建</t>
  </si>
  <si>
    <t>吳冉</t>
  </si>
  <si>
    <t>南海</t>
  </si>
  <si>
    <t>蔡國聲</t>
  </si>
  <si>
    <t>王驍主</t>
  </si>
  <si>
    <t>王鏞</t>
  </si>
  <si>
    <t>郭鳳喜</t>
  </si>
  <si>
    <t>張君麗</t>
  </si>
  <si>
    <t>田忠利</t>
  </si>
  <si>
    <t>許俊</t>
  </si>
  <si>
    <t>孫長初</t>
  </si>
  <si>
    <t>湯姆．帕特森 著</t>
  </si>
  <si>
    <t>河清</t>
  </si>
  <si>
    <t>楊力</t>
  </si>
  <si>
    <t>王志敏</t>
  </si>
  <si>
    <t>邱振中</t>
  </si>
  <si>
    <t>易英 主編</t>
  </si>
  <si>
    <t>王曉寧</t>
  </si>
  <si>
    <t>賀西林</t>
  </si>
  <si>
    <t>鄭欣淼</t>
  </si>
  <si>
    <t>劉靜</t>
  </si>
  <si>
    <t>秦偉著</t>
  </si>
  <si>
    <t>齊吉祥</t>
  </si>
  <si>
    <t>孫實明</t>
  </si>
  <si>
    <t>程方平</t>
  </si>
  <si>
    <t>張魯原</t>
  </si>
  <si>
    <t>周鷹</t>
  </si>
  <si>
    <t>柯小衛</t>
  </si>
  <si>
    <t>大成</t>
  </si>
  <si>
    <t>上海市寶山區檔案局編</t>
  </si>
  <si>
    <t>常鋒銳</t>
  </si>
  <si>
    <t>王靜</t>
  </si>
  <si>
    <t>陳廣燕</t>
  </si>
  <si>
    <t>賈德江主編</t>
  </si>
  <si>
    <t>葉舟</t>
  </si>
  <si>
    <t>甯雲龍</t>
  </si>
  <si>
    <t>趙強編著</t>
  </si>
  <si>
    <t>瀋陽故宮博物院</t>
  </si>
  <si>
    <t>潘福晶</t>
  </si>
  <si>
    <t>柴煥波</t>
  </si>
  <si>
    <t>章品鎮</t>
  </si>
  <si>
    <t>張晨</t>
  </si>
  <si>
    <t>王子雲</t>
  </si>
  <si>
    <t>李娟</t>
  </si>
  <si>
    <t>關山月美術館</t>
  </si>
  <si>
    <t>淩雅麗</t>
  </si>
  <si>
    <t>許孫</t>
  </si>
  <si>
    <t>鄭偉</t>
  </si>
  <si>
    <t>沈慧蘭</t>
  </si>
  <si>
    <t>韋人</t>
  </si>
  <si>
    <t>李真</t>
  </si>
  <si>
    <t>鄭平</t>
  </si>
  <si>
    <t>夏風</t>
  </si>
  <si>
    <t>陳振濂</t>
  </si>
  <si>
    <t>陳琪</t>
  </si>
  <si>
    <t>上海書畫出版社編</t>
  </si>
  <si>
    <t>蔣勳</t>
  </si>
  <si>
    <t>田本相</t>
  </si>
  <si>
    <t>鄧福星</t>
  </si>
  <si>
    <t>仝冰雪</t>
  </si>
  <si>
    <t>中國美術館</t>
  </si>
  <si>
    <t>廣西美術出版社美術館</t>
  </si>
  <si>
    <t>張晶</t>
  </si>
  <si>
    <t>黃旭東</t>
  </si>
  <si>
    <t>居其宏</t>
  </si>
  <si>
    <t>許俊松. 編著</t>
  </si>
  <si>
    <t>李福順</t>
  </si>
  <si>
    <t>闞紅柳</t>
  </si>
  <si>
    <t>端木蕻良</t>
  </si>
  <si>
    <t>唐浩明</t>
  </si>
  <si>
    <t>田東江著</t>
  </si>
  <si>
    <t>榮真著</t>
  </si>
  <si>
    <t>陳堅.王欽雙著</t>
  </si>
  <si>
    <t>陳少銘著</t>
  </si>
  <si>
    <t>戴仁柱</t>
  </si>
  <si>
    <t>田曉菲</t>
  </si>
  <si>
    <t>猛子著</t>
  </si>
  <si>
    <t>梅毅</t>
  </si>
  <si>
    <t>溥儀</t>
  </si>
  <si>
    <t>朵漁</t>
  </si>
  <si>
    <t>劉剛</t>
  </si>
  <si>
    <t>郭大順</t>
  </si>
  <si>
    <t>王雅文. 汪海燕. 編著</t>
  </si>
  <si>
    <t>王彥輝. 主編</t>
  </si>
  <si>
    <t>胡思華</t>
  </si>
  <si>
    <t>王華鋒</t>
  </si>
  <si>
    <t>黃樸民</t>
  </si>
  <si>
    <t>白效詠</t>
  </si>
  <si>
    <t>魏特琳</t>
  </si>
  <si>
    <t>張生</t>
  </si>
  <si>
    <t>王衛星</t>
  </si>
  <si>
    <t>孫宅巍</t>
  </si>
  <si>
    <t>經盛鴻</t>
  </si>
  <si>
    <t>楊夏鳴</t>
  </si>
  <si>
    <t>章開沅</t>
  </si>
  <si>
    <t>薑良芹</t>
  </si>
  <si>
    <t>胡菊蓉</t>
  </si>
  <si>
    <t>郭必強</t>
  </si>
  <si>
    <t>張建寧</t>
  </si>
  <si>
    <t>張文竹著</t>
  </si>
  <si>
    <t>王彬彬</t>
  </si>
  <si>
    <t>高中華</t>
  </si>
  <si>
    <t>王京平著</t>
  </si>
  <si>
    <t>宋超著</t>
  </si>
  <si>
    <t>陳君</t>
  </si>
  <si>
    <t>司馬路. 著</t>
  </si>
  <si>
    <t>李民發</t>
  </si>
  <si>
    <t>孫鑰洋</t>
  </si>
  <si>
    <t>李文海</t>
  </si>
  <si>
    <t>孫家洲 劉後濱</t>
  </si>
  <si>
    <t>殷嘯虎</t>
  </si>
  <si>
    <t>胡華</t>
  </si>
  <si>
    <t>陳蘇鎮</t>
  </si>
  <si>
    <t>鄭師渠</t>
  </si>
  <si>
    <t>郭文韜，嚴火其著</t>
  </si>
  <si>
    <t>吳良寶</t>
  </si>
  <si>
    <t>(美)喬伊.哈克姆</t>
  </si>
  <si>
    <t>駱玉明著</t>
  </si>
  <si>
    <t>老鐵手</t>
  </si>
  <si>
    <t>王行國</t>
  </si>
  <si>
    <t>白壽蠡</t>
  </si>
  <si>
    <t>梅冬閣</t>
  </si>
  <si>
    <t>李雄飛 編</t>
  </si>
  <si>
    <t>北極蒼狼</t>
  </si>
  <si>
    <t>陶短房</t>
  </si>
  <si>
    <t>沈重</t>
  </si>
  <si>
    <t>董迎建</t>
  </si>
  <si>
    <t>王春瑜</t>
  </si>
  <si>
    <t>曹晉傑</t>
  </si>
  <si>
    <t>韓亞紅著</t>
  </si>
  <si>
    <t>草軍書</t>
  </si>
  <si>
    <t>葉海煙</t>
  </si>
  <si>
    <t>李一冉</t>
  </si>
  <si>
    <t>劉敬堂</t>
  </si>
  <si>
    <t>吳越著</t>
  </si>
  <si>
    <t>熊召政</t>
  </si>
  <si>
    <t>魏新</t>
  </si>
  <si>
    <t>劉恩銘. 著</t>
  </si>
  <si>
    <t>東雄</t>
  </si>
  <si>
    <t>宋連生</t>
  </si>
  <si>
    <t>齊鵬飛. 主編</t>
  </si>
  <si>
    <t>張亞輝</t>
  </si>
  <si>
    <t>陳冬梅. 著</t>
  </si>
  <si>
    <t>移然. 著</t>
  </si>
  <si>
    <t>甘穀. 著</t>
  </si>
  <si>
    <t>胡善恩. 著</t>
  </si>
  <si>
    <t>清隱</t>
  </si>
  <si>
    <t>趙遵生</t>
  </si>
  <si>
    <t>玉晚樓</t>
  </si>
  <si>
    <t>馮苓植. 著</t>
  </si>
  <si>
    <t>楊恩玉</t>
  </si>
  <si>
    <t>齊廉允</t>
  </si>
  <si>
    <t>趙樹廷</t>
  </si>
  <si>
    <t>範學輝</t>
  </si>
  <si>
    <t>王向陽</t>
  </si>
  <si>
    <t>張研編.穆之著</t>
  </si>
  <si>
    <t>張研編.曉曼著</t>
  </si>
  <si>
    <t>張研編.徐妍著</t>
  </si>
  <si>
    <t>張研編.林娜著</t>
  </si>
  <si>
    <t>張研編.王聰明著</t>
  </si>
  <si>
    <t>深水城</t>
  </si>
  <si>
    <t>江南水</t>
  </si>
  <si>
    <t>張蔭鱗</t>
  </si>
  <si>
    <t>張豔玲</t>
  </si>
  <si>
    <t>王文元</t>
  </si>
  <si>
    <t>董永</t>
  </si>
  <si>
    <t>徐宇宏</t>
  </si>
  <si>
    <t>英雄旗主</t>
  </si>
  <si>
    <t>黃茂初著</t>
  </si>
  <si>
    <t>張鳳洪著</t>
  </si>
  <si>
    <t>商彥梓著</t>
  </si>
  <si>
    <t>常萬生著</t>
  </si>
  <si>
    <t>左雲霖著</t>
  </si>
  <si>
    <t>羅恒廉編著</t>
  </si>
  <si>
    <t>王連升</t>
  </si>
  <si>
    <t>安震</t>
  </si>
  <si>
    <t>佟偉</t>
  </si>
  <si>
    <t>高天流雲</t>
  </si>
  <si>
    <t>高天流雲著</t>
  </si>
  <si>
    <t>草色風煙</t>
  </si>
  <si>
    <t>朱蘇進著</t>
  </si>
  <si>
    <t>羅哲鬱</t>
  </si>
  <si>
    <t>魏國靜. 高玉昆. 著</t>
  </si>
  <si>
    <t>老絲</t>
  </si>
  <si>
    <t>摘星樓主. 著</t>
  </si>
  <si>
    <t>李克</t>
  </si>
  <si>
    <t>田昌五著</t>
  </si>
  <si>
    <t>蘭曉麗</t>
  </si>
  <si>
    <t>史冷金</t>
  </si>
  <si>
    <t>阿弩. 著</t>
  </si>
  <si>
    <t>碧荷館主人</t>
  </si>
  <si>
    <t>劉建軍</t>
  </si>
  <si>
    <t>於懋</t>
  </si>
  <si>
    <t>唐河</t>
  </si>
  <si>
    <t>司馬遷</t>
  </si>
  <si>
    <t>馬渭源. 著</t>
  </si>
  <si>
    <t>阿英</t>
  </si>
  <si>
    <t>王耀路</t>
  </si>
  <si>
    <t>劉潞</t>
  </si>
  <si>
    <t>林蘊暉</t>
  </si>
  <si>
    <t>李文勇</t>
  </si>
  <si>
    <t>李峰</t>
  </si>
  <si>
    <t>王凱旋</t>
  </si>
  <si>
    <t>月望東山. 著</t>
  </si>
  <si>
    <t>醉雁編</t>
  </si>
  <si>
    <t>安凝柔編</t>
  </si>
  <si>
    <t>冰蘭編</t>
  </si>
  <si>
    <t>瑤初楓編</t>
  </si>
  <si>
    <t>鄧明編著</t>
  </si>
  <si>
    <t>邢群麟</t>
  </si>
  <si>
    <t>安心竟</t>
  </si>
  <si>
    <t>夏于全</t>
  </si>
  <si>
    <t>魏晉風</t>
  </si>
  <si>
    <t>楊楠楠. 主編</t>
  </si>
  <si>
    <t>金一南著</t>
  </si>
  <si>
    <t>簡宗梧</t>
  </si>
  <si>
    <t>王子今</t>
  </si>
  <si>
    <t>謝元魯著</t>
  </si>
  <si>
    <t>屈小強</t>
  </si>
  <si>
    <t>胡尚炯</t>
  </si>
  <si>
    <t>完顏亮</t>
  </si>
  <si>
    <t>月望東山</t>
  </si>
  <si>
    <t>吉霞</t>
  </si>
  <si>
    <t>張紅苗</t>
  </si>
  <si>
    <t>劉後濱</t>
  </si>
  <si>
    <t>莊錫華</t>
  </si>
  <si>
    <t>盧定興</t>
  </si>
  <si>
    <t>張興吉</t>
  </si>
  <si>
    <t>塵洛若影</t>
  </si>
  <si>
    <t>薛瑞生</t>
  </si>
  <si>
    <t>杜文玉</t>
  </si>
  <si>
    <t>舒大豐</t>
  </si>
  <si>
    <t>熊誠</t>
  </si>
  <si>
    <t>楊建峰</t>
  </si>
  <si>
    <t>冉雲飛著</t>
  </si>
  <si>
    <t>中國郭沫若研究會</t>
  </si>
  <si>
    <t>韓守信</t>
  </si>
  <si>
    <t>袁騰飛</t>
  </si>
  <si>
    <t>馬寶珠</t>
  </si>
  <si>
    <t>任月海</t>
  </si>
  <si>
    <t>於弢</t>
  </si>
  <si>
    <t>潘志濤</t>
  </si>
  <si>
    <t>汝企和</t>
  </si>
  <si>
    <t>程麻</t>
  </si>
  <si>
    <t>李傳軍、宣炳善、馬寶記撰</t>
  </si>
  <si>
    <t>劉永連</t>
  </si>
  <si>
    <t>李景隆等著</t>
  </si>
  <si>
    <t>蘇力</t>
  </si>
  <si>
    <t>王金泰</t>
  </si>
  <si>
    <t>馮驥才、白庚勝等編著</t>
  </si>
  <si>
    <t>馮驥才等編著</t>
  </si>
  <si>
    <t>王遠明著</t>
  </si>
  <si>
    <t>沈揚</t>
  </si>
  <si>
    <t>柳斌傑</t>
  </si>
  <si>
    <t>朱鴻著</t>
  </si>
  <si>
    <t>王貴生著</t>
  </si>
  <si>
    <t>高丙中. 著</t>
  </si>
  <si>
    <t>王光東</t>
  </si>
  <si>
    <t>彭多意</t>
  </si>
  <si>
    <t>何明</t>
  </si>
  <si>
    <t>張寶章</t>
  </si>
  <si>
    <t>韓春鳴</t>
  </si>
  <si>
    <t>楊明珠</t>
  </si>
  <si>
    <t>範勇編著</t>
  </si>
  <si>
    <t>朱寧虹編著</t>
  </si>
  <si>
    <t>張嘯濤</t>
  </si>
  <si>
    <t>王銘銘</t>
  </si>
  <si>
    <t>郭燦金</t>
  </si>
  <si>
    <t>丁元松</t>
  </si>
  <si>
    <t>中國民俗學會，北京民俗博物館[編]</t>
  </si>
  <si>
    <t>宮曙光</t>
  </si>
  <si>
    <t>韋黎明 編著</t>
  </si>
  <si>
    <t>白霞</t>
  </si>
  <si>
    <t>許小主</t>
  </si>
  <si>
    <t>劉克祥</t>
  </si>
  <si>
    <t>色音. 主編</t>
  </si>
  <si>
    <t>汪梅</t>
  </si>
  <si>
    <t>鄭劭榮. 編</t>
  </si>
  <si>
    <t>馮驥才主編</t>
  </si>
  <si>
    <t>淩遠清. 著</t>
  </si>
  <si>
    <t>儲冬愛. 著</t>
  </si>
  <si>
    <t>祁連休</t>
  </si>
  <si>
    <t>杜素娟著</t>
  </si>
  <si>
    <t>吳飛著</t>
  </si>
  <si>
    <t>劉曉真</t>
  </si>
  <si>
    <t>姜正成</t>
  </si>
  <si>
    <t>張金龍</t>
  </si>
  <si>
    <t>張久英</t>
  </si>
  <si>
    <t>尹繼佐</t>
  </si>
  <si>
    <t>馬盛德</t>
  </si>
  <si>
    <t>陳勤建</t>
  </si>
  <si>
    <t>劉華</t>
  </si>
  <si>
    <t>何聿光主編</t>
  </si>
  <si>
    <t>尋勝蘭</t>
  </si>
  <si>
    <t>曹洪欣</t>
  </si>
  <si>
    <t>葉豔彬</t>
  </si>
  <si>
    <t>劉慧</t>
  </si>
  <si>
    <t>王一方</t>
  </si>
  <si>
    <t>(英)沃布22利克</t>
  </si>
  <si>
    <t>朱南平</t>
  </si>
  <si>
    <t>沈衛</t>
  </si>
  <si>
    <t>李心天</t>
  </si>
  <si>
    <t>許添鳳</t>
  </si>
  <si>
    <t>佩特裏納</t>
  </si>
  <si>
    <t>克拉福特</t>
  </si>
  <si>
    <t>[清]朱琰</t>
  </si>
  <si>
    <t>羅熙蔭</t>
  </si>
  <si>
    <t>王淑靜</t>
  </si>
  <si>
    <t>顏鐵生</t>
  </si>
  <si>
    <t>鄭文光</t>
  </si>
  <si>
    <t>鄧一光</t>
  </si>
  <si>
    <t>孫慧芬</t>
  </si>
  <si>
    <t>南帆</t>
  </si>
  <si>
    <t>海岩</t>
  </si>
  <si>
    <t>喬喬</t>
  </si>
  <si>
    <t>理由</t>
  </si>
  <si>
    <t>胡平</t>
  </si>
  <si>
    <t>趙瑜</t>
  </si>
  <si>
    <t>柯岩</t>
  </si>
  <si>
    <t>何建明</t>
  </si>
  <si>
    <t>陳桂棣</t>
  </si>
  <si>
    <t>劉醒龍</t>
  </si>
  <si>
    <t>阿來</t>
  </si>
  <si>
    <t>池莉</t>
  </si>
  <si>
    <t>張學軍著</t>
  </si>
  <si>
    <t>陳愉慶</t>
  </si>
  <si>
    <t>唐維</t>
  </si>
  <si>
    <t>葉萍萍</t>
  </si>
  <si>
    <t>段雲球</t>
  </si>
  <si>
    <t>吳曉東</t>
  </si>
  <si>
    <t>葉曙光</t>
  </si>
  <si>
    <t>葉辛</t>
  </si>
  <si>
    <t>張正隆</t>
  </si>
  <si>
    <t>羅維</t>
  </si>
  <si>
    <t>史密斯</t>
  </si>
  <si>
    <t>倫特恰瓦</t>
  </si>
  <si>
    <t>班塔</t>
  </si>
  <si>
    <t>布賴恩</t>
  </si>
  <si>
    <t>奧唐內爾</t>
  </si>
  <si>
    <t>哈裏斯</t>
  </si>
  <si>
    <t>埃斯</t>
  </si>
  <si>
    <t>克勞利</t>
  </si>
  <si>
    <t>瓦格納</t>
  </si>
  <si>
    <t>霍華德</t>
  </si>
  <si>
    <t>米利根</t>
  </si>
  <si>
    <t>金納蒙</t>
  </si>
  <si>
    <t>奧克沃德</t>
  </si>
  <si>
    <t>季紅真</t>
  </si>
  <si>
    <t>劉東</t>
  </si>
  <si>
    <t>趙冬梅著</t>
  </si>
  <si>
    <t>王又平</t>
  </si>
  <si>
    <t>王朝聞</t>
  </si>
  <si>
    <t>方平</t>
  </si>
  <si>
    <t>喬國強</t>
  </si>
  <si>
    <t>廬隱</t>
  </si>
  <si>
    <t>陳思和著</t>
  </si>
  <si>
    <t>林建發</t>
  </si>
  <si>
    <t>何光滬. 著</t>
  </si>
  <si>
    <t>喬以鋼著</t>
  </si>
  <si>
    <t>王  傑著</t>
  </si>
  <si>
    <t>李先國</t>
  </si>
  <si>
    <t>老鬼</t>
  </si>
  <si>
    <t>李蓉</t>
  </si>
  <si>
    <t>且東</t>
  </si>
  <si>
    <t>胡傑. 著</t>
  </si>
  <si>
    <t>木兒</t>
  </si>
  <si>
    <t>祁定江</t>
  </si>
  <si>
    <t>凜冽</t>
  </si>
  <si>
    <t>紫貝</t>
  </si>
  <si>
    <t>漪微</t>
  </si>
  <si>
    <t>唐兜</t>
  </si>
  <si>
    <t>0</t>
  </si>
  <si>
    <t>格非</t>
  </si>
  <si>
    <t>夢三生</t>
  </si>
  <si>
    <t>桔桔</t>
  </si>
  <si>
    <t>(韓) 南仁淑. 著</t>
  </si>
  <si>
    <t>楊清媚</t>
  </si>
  <si>
    <t>朱曉翔. 著</t>
  </si>
  <si>
    <t>（俄羅斯）屠格涅夫著</t>
  </si>
  <si>
    <t>阿萊</t>
  </si>
  <si>
    <t>卉放等編</t>
  </si>
  <si>
    <t>林?</t>
  </si>
  <si>
    <t>鴻雁</t>
  </si>
  <si>
    <t>王妍丁</t>
  </si>
  <si>
    <t>語笑嫣然. 著</t>
  </si>
  <si>
    <t>劉迪</t>
  </si>
  <si>
    <t>[法]米雪爾·卡娜</t>
  </si>
  <si>
    <t>高瑞泉</t>
  </si>
  <si>
    <t>周銳. 著</t>
  </si>
  <si>
    <t>周志雄</t>
  </si>
  <si>
    <t>呂周聚</t>
  </si>
  <si>
    <t>吳新雷</t>
  </si>
  <si>
    <t>孫郁</t>
  </si>
  <si>
    <t>吳炫</t>
  </si>
  <si>
    <t>張春沛</t>
  </si>
  <si>
    <t>曾子墨</t>
  </si>
  <si>
    <t>孔慶東</t>
  </si>
  <si>
    <t>符號</t>
  </si>
  <si>
    <t>(荷蘭)(Ray Kluun)瑞·科倫</t>
  </si>
  <si>
    <t>盧麗莉著</t>
  </si>
  <si>
    <t>林培源. 著</t>
  </si>
  <si>
    <t>編者</t>
  </si>
  <si>
    <t>薑鵬</t>
  </si>
  <si>
    <t>當當著</t>
  </si>
  <si>
    <t>姚志彬. 著</t>
  </si>
  <si>
    <t>南派三叔</t>
  </si>
  <si>
    <t>張承志</t>
  </si>
  <si>
    <t>柏樺</t>
  </si>
  <si>
    <t>蝴蝶盅著</t>
  </si>
  <si>
    <t>飛煙著</t>
  </si>
  <si>
    <t>林?著</t>
  </si>
  <si>
    <t>張翼新</t>
  </si>
  <si>
    <t>魯衛著</t>
  </si>
  <si>
    <t>劉川鄂</t>
  </si>
  <si>
    <t>何祚歡</t>
  </si>
  <si>
    <t>南宗丘. 著</t>
  </si>
  <si>
    <t>(美)派特麗夏·康薇</t>
  </si>
  <si>
    <t>劉南江</t>
  </si>
  <si>
    <t>劉亞學. 著</t>
  </si>
  <si>
    <t>張雯媛</t>
  </si>
  <si>
    <t>龍子仲</t>
  </si>
  <si>
    <t>朱周斌</t>
  </si>
  <si>
    <t>任一鳴編著</t>
  </si>
  <si>
    <t>艾米</t>
  </si>
  <si>
    <t>于友</t>
  </si>
  <si>
    <t>黃斌著</t>
  </si>
  <si>
    <t>喬安山口述</t>
  </si>
  <si>
    <t>魏風華</t>
  </si>
  <si>
    <t>曾紀鑫</t>
  </si>
  <si>
    <t>蘇醒</t>
  </si>
  <si>
    <t>張鳴</t>
  </si>
  <si>
    <t>陳儒才</t>
  </si>
  <si>
    <t>胡勇</t>
  </si>
  <si>
    <t>張狂</t>
  </si>
  <si>
    <t>陳永健</t>
  </si>
  <si>
    <t>瀋陽唐伯虎</t>
  </si>
  <si>
    <t>王旭烽</t>
  </si>
  <si>
    <t>趙恒瑾</t>
  </si>
  <si>
    <t>慕容湮兒</t>
  </si>
  <si>
    <t>巴金</t>
  </si>
  <si>
    <t>許暉著</t>
  </si>
  <si>
    <t>郝岩</t>
  </si>
  <si>
    <t>顏溶</t>
  </si>
  <si>
    <t>傅菲</t>
  </si>
  <si>
    <t>笑顏</t>
  </si>
  <si>
    <t>葛劍雄</t>
  </si>
  <si>
    <t>宗沛妍. 著</t>
  </si>
  <si>
    <t>王維玲</t>
  </si>
  <si>
    <t>徐柏容</t>
  </si>
  <si>
    <t>潘國彥</t>
  </si>
  <si>
    <t>聶震寧</t>
  </si>
  <si>
    <t>石仲泉</t>
  </si>
  <si>
    <t>黃梅波</t>
  </si>
  <si>
    <t>劉克蘇</t>
  </si>
  <si>
    <t>趙學敏</t>
  </si>
  <si>
    <t>潘教峰</t>
  </si>
  <si>
    <t>孫黎</t>
  </si>
  <si>
    <t>於殿利</t>
  </si>
  <si>
    <t>孫月沐</t>
  </si>
  <si>
    <t>米爾. 編繪</t>
  </si>
  <si>
    <t>雷元江</t>
  </si>
  <si>
    <t>羅小韻</t>
  </si>
  <si>
    <t>薩特勒</t>
  </si>
  <si>
    <t>魏來</t>
  </si>
  <si>
    <t>張悅. 編著</t>
  </si>
  <si>
    <t>吳敬華</t>
  </si>
  <si>
    <t>邱丕相</t>
  </si>
  <si>
    <t>張士寶</t>
  </si>
  <si>
    <t>張立升</t>
  </si>
  <si>
    <t>金明善</t>
  </si>
  <si>
    <t>鄒徐文著</t>
  </si>
  <si>
    <t>康燕</t>
  </si>
  <si>
    <t>周思源. 著</t>
  </si>
  <si>
    <t>閆謙君. 編著</t>
  </si>
  <si>
    <t>閆謙君</t>
  </si>
  <si>
    <t>西洛塔</t>
  </si>
  <si>
    <t>羅伯特</t>
  </si>
  <si>
    <t>付遙</t>
  </si>
  <si>
    <t>北京大學歷史地理研究中心編</t>
  </si>
  <si>
    <t>焦玉</t>
  </si>
  <si>
    <t>郭有獻</t>
  </si>
  <si>
    <t>顏志剛</t>
  </si>
  <si>
    <t>黃忠敬</t>
  </si>
  <si>
    <t>陳思和</t>
  </si>
  <si>
    <t>程曼麗</t>
  </si>
  <si>
    <t>薛中軍</t>
  </si>
  <si>
    <t>BOB</t>
  </si>
  <si>
    <t>滑明達</t>
  </si>
  <si>
    <t>梁小民</t>
  </si>
  <si>
    <t>萊特</t>
  </si>
  <si>
    <t>武兵</t>
  </si>
  <si>
    <t>王爾岡</t>
  </si>
  <si>
    <t>杜也力</t>
  </si>
  <si>
    <t>李旭</t>
  </si>
  <si>
    <t>伯頓</t>
  </si>
  <si>
    <t>紅梅</t>
  </si>
  <si>
    <t>劉金松</t>
  </si>
  <si>
    <t>李世正</t>
  </si>
  <si>
    <t>張玉輝</t>
  </si>
  <si>
    <t>宋柘斌</t>
  </si>
  <si>
    <t>格桑澤人</t>
  </si>
  <si>
    <t>謝軍</t>
  </si>
  <si>
    <t>曹榮湘</t>
  </si>
  <si>
    <t>徐金髮. 等著</t>
  </si>
  <si>
    <t>王斌. 著</t>
  </si>
  <si>
    <t>曾少軍</t>
  </si>
  <si>
    <t>張煥波</t>
  </si>
  <si>
    <t>石英. 主編</t>
  </si>
  <si>
    <t>倪鵬飛. (美) 克拉索. 主編</t>
  </si>
  <si>
    <t>北京電視臺衛視節目中心</t>
  </si>
  <si>
    <t>孫瑞雪</t>
  </si>
  <si>
    <t>朝暉</t>
  </si>
  <si>
    <t>(美) 科恩. 著</t>
  </si>
  <si>
    <t>唐景椿</t>
  </si>
  <si>
    <t>木童</t>
  </si>
  <si>
    <t>崔生國</t>
  </si>
  <si>
    <t>王曉玉</t>
  </si>
  <si>
    <t>謝昭新</t>
  </si>
  <si>
    <t>沈伯俊</t>
  </si>
  <si>
    <t>劉翔</t>
  </si>
  <si>
    <t>李輝</t>
  </si>
  <si>
    <t>金波</t>
  </si>
  <si>
    <t>方敏</t>
  </si>
  <si>
    <t>陳平</t>
  </si>
  <si>
    <t>陳錦</t>
  </si>
  <si>
    <t>王小慧</t>
  </si>
  <si>
    <t>魯賓遜</t>
  </si>
  <si>
    <t>王亞樸</t>
  </si>
  <si>
    <t>戴逸如</t>
  </si>
  <si>
    <t>黃雪媛</t>
  </si>
  <si>
    <t>達爾伯格</t>
  </si>
  <si>
    <t>本納</t>
  </si>
  <si>
    <t>瞿葆奎</t>
  </si>
  <si>
    <t>謝安邦</t>
  </si>
  <si>
    <t>邁爾斯</t>
  </si>
  <si>
    <t>王穎吉</t>
  </si>
  <si>
    <t>蔡子強</t>
  </si>
  <si>
    <t>唐紅炬</t>
  </si>
  <si>
    <t>張立浩</t>
  </si>
  <si>
    <t>張克榮</t>
  </si>
  <si>
    <t>熊曉正</t>
  </si>
  <si>
    <t>耿文清. 主編</t>
  </si>
  <si>
    <t>藍天</t>
  </si>
  <si>
    <t>晨楓</t>
  </si>
  <si>
    <t>黃志剛</t>
  </si>
  <si>
    <t>萬資姿</t>
  </si>
  <si>
    <t>右手</t>
  </si>
  <si>
    <t>彭征</t>
  </si>
  <si>
    <t>劉豔靜</t>
  </si>
  <si>
    <t>盒子創造社</t>
  </si>
  <si>
    <t>張揚. 編著</t>
  </si>
  <si>
    <t>趙昌文</t>
  </si>
  <si>
    <t>子聰</t>
  </si>
  <si>
    <t>姜慶共</t>
  </si>
  <si>
    <t>周橋</t>
  </si>
  <si>
    <t>陸建初</t>
  </si>
  <si>
    <t>呂永泉</t>
  </si>
  <si>
    <t>羅蘭德著</t>
  </si>
  <si>
    <t>困困</t>
  </si>
  <si>
    <t>潘知常</t>
  </si>
  <si>
    <t>溫豔霞</t>
  </si>
  <si>
    <t>上海社會科學院房地產業研究中心. 上海市房產經濟學會. 編</t>
  </si>
  <si>
    <t>金芳. 等著</t>
  </si>
  <si>
    <t>李軼海. 主編</t>
  </si>
  <si>
    <t>張薇</t>
  </si>
  <si>
    <t>劉彬彬</t>
  </si>
  <si>
    <t>吳建中</t>
  </si>
  <si>
    <t>王紅旗編</t>
  </si>
  <si>
    <t>張志忠</t>
  </si>
  <si>
    <t>蘇小和</t>
  </si>
  <si>
    <t>王昕</t>
  </si>
  <si>
    <r>
      <t>十</t>
    </r>
    <r>
      <rPr>
        <b/>
        <sz val="12"/>
        <color rgb="FF000000"/>
        <rFont val="華康中黑體"/>
        <family val="3"/>
        <charset val="136"/>
      </rPr>
      <t>二</t>
    </r>
    <r>
      <rPr>
        <b/>
        <sz val="12"/>
        <color indexed="8"/>
        <rFont val="華康中黑體"/>
        <family val="3"/>
        <charset val="136"/>
      </rPr>
      <t>、童書</t>
    </r>
    <phoneticPr fontId="8" type="noConversion"/>
  </si>
  <si>
    <t>12206863</t>
  </si>
  <si>
    <t>9787122068637</t>
  </si>
  <si>
    <t>王文華</t>
  </si>
  <si>
    <t>童書</t>
    <phoneticPr fontId="8" type="noConversion"/>
  </si>
  <si>
    <t>童書</t>
  </si>
  <si>
    <t>22408672</t>
  </si>
  <si>
    <t>9787224086720</t>
  </si>
  <si>
    <t>高翔等著</t>
  </si>
  <si>
    <t>22814162</t>
  </si>
  <si>
    <t>9787228141623</t>
  </si>
  <si>
    <t>22814163</t>
  </si>
  <si>
    <t>9787228141630</t>
  </si>
  <si>
    <t>22814164</t>
  </si>
  <si>
    <t>9787228141647</t>
  </si>
  <si>
    <t>22814165</t>
  </si>
  <si>
    <t>9787228141654</t>
  </si>
  <si>
    <t>22814166</t>
  </si>
  <si>
    <t>9787228141661</t>
  </si>
  <si>
    <t>22814167</t>
  </si>
  <si>
    <t>9787228141678</t>
  </si>
  <si>
    <t>22814217</t>
  </si>
  <si>
    <t>9787228142170</t>
  </si>
  <si>
    <t>22814218</t>
  </si>
  <si>
    <t>9787228142187</t>
  </si>
  <si>
    <t>22814498</t>
  </si>
  <si>
    <t>9787228144983</t>
  </si>
  <si>
    <t>22814499</t>
  </si>
  <si>
    <t>9787228144990</t>
  </si>
  <si>
    <t>50473276</t>
  </si>
  <si>
    <t>9787504732767</t>
  </si>
  <si>
    <t>照心著</t>
  </si>
  <si>
    <t>53011682</t>
  </si>
  <si>
    <t>7530116827</t>
  </si>
  <si>
    <t>53044280</t>
  </si>
  <si>
    <t>9787530442807</t>
  </si>
  <si>
    <t>53707935</t>
  </si>
  <si>
    <t>9787537079358</t>
  </si>
  <si>
    <t>53707989</t>
  </si>
  <si>
    <t>9787537079891</t>
  </si>
  <si>
    <t>53708065</t>
  </si>
  <si>
    <t>9787537080651</t>
  </si>
  <si>
    <t>53708077</t>
  </si>
  <si>
    <t>9787537080774</t>
  </si>
  <si>
    <t>53708082</t>
  </si>
  <si>
    <t>9787537080828</t>
  </si>
  <si>
    <t>53714603B</t>
  </si>
  <si>
    <t>9787537146036</t>
  </si>
  <si>
    <t>53714603C</t>
  </si>
  <si>
    <t>53714603D</t>
  </si>
  <si>
    <t>53714603F</t>
  </si>
  <si>
    <t>53714603G</t>
  </si>
  <si>
    <t>53714603I</t>
  </si>
  <si>
    <t>53714772A</t>
  </si>
  <si>
    <t>9787537147729</t>
  </si>
  <si>
    <t>53714772B</t>
  </si>
  <si>
    <t>53714772C</t>
  </si>
  <si>
    <t>53714772E</t>
  </si>
  <si>
    <t>53714772G</t>
  </si>
  <si>
    <t>53714772H</t>
  </si>
  <si>
    <t>53714772I</t>
  </si>
  <si>
    <t>53714772J</t>
  </si>
  <si>
    <t>53714773B</t>
  </si>
  <si>
    <t>9787537147736</t>
  </si>
  <si>
    <t>53714773C</t>
  </si>
  <si>
    <t>53714773D</t>
  </si>
  <si>
    <t>53714773H</t>
  </si>
  <si>
    <t>53714773I</t>
  </si>
  <si>
    <t>53715524</t>
  </si>
  <si>
    <t>9787537155243</t>
  </si>
  <si>
    <t>53715659</t>
  </si>
  <si>
    <t>9787537156592</t>
  </si>
  <si>
    <t>53715697</t>
  </si>
  <si>
    <t>9787537156974</t>
  </si>
  <si>
    <t>53715698</t>
  </si>
  <si>
    <t>9787537156981</t>
  </si>
  <si>
    <t>53715699</t>
  </si>
  <si>
    <t>9787537156998</t>
  </si>
  <si>
    <t>53715701</t>
  </si>
  <si>
    <t>9787537157018</t>
  </si>
  <si>
    <t>53715702</t>
  </si>
  <si>
    <t>9787537157025</t>
  </si>
  <si>
    <t>53715703</t>
  </si>
  <si>
    <t>9787537157032</t>
  </si>
  <si>
    <t>53715704</t>
  </si>
  <si>
    <t>9787537157049</t>
  </si>
  <si>
    <t>53715705</t>
  </si>
  <si>
    <t>9787537157056</t>
  </si>
  <si>
    <t>53715706</t>
  </si>
  <si>
    <t>9787537157063</t>
  </si>
  <si>
    <t>53715783</t>
  </si>
  <si>
    <t>9787537157834</t>
  </si>
  <si>
    <t>53715808</t>
  </si>
  <si>
    <t>9787537158084</t>
  </si>
  <si>
    <t>53715809</t>
  </si>
  <si>
    <t>9787537158091</t>
  </si>
  <si>
    <t>53715845</t>
  </si>
  <si>
    <t>9787537158459</t>
  </si>
  <si>
    <t>53715846</t>
  </si>
  <si>
    <t>9787537158466</t>
  </si>
  <si>
    <t>53715848</t>
  </si>
  <si>
    <t>9787537158480</t>
  </si>
  <si>
    <t>53715849</t>
  </si>
  <si>
    <t>9787537158497</t>
  </si>
  <si>
    <t>53715850</t>
  </si>
  <si>
    <t>9787537158503</t>
  </si>
  <si>
    <t>53715851</t>
  </si>
  <si>
    <t>9787537158510</t>
  </si>
  <si>
    <t>53715852</t>
  </si>
  <si>
    <t>9787537158527</t>
  </si>
  <si>
    <t>53715853</t>
  </si>
  <si>
    <t>9787537158534</t>
  </si>
  <si>
    <t>53715855</t>
  </si>
  <si>
    <t>9787537158558</t>
  </si>
  <si>
    <t>53715856</t>
  </si>
  <si>
    <t>9787537158565</t>
  </si>
  <si>
    <t>53715860</t>
  </si>
  <si>
    <t>9787537158602</t>
  </si>
  <si>
    <t>53715861</t>
  </si>
  <si>
    <t>9787537158619</t>
  </si>
  <si>
    <t>53715862</t>
  </si>
  <si>
    <t>9787537158626</t>
  </si>
  <si>
    <t>53715863</t>
  </si>
  <si>
    <t>9787537158633</t>
  </si>
  <si>
    <t>53715864</t>
  </si>
  <si>
    <t>9787537158640</t>
  </si>
  <si>
    <t>53715865</t>
  </si>
  <si>
    <t>9787537158657</t>
  </si>
  <si>
    <t>53716052</t>
  </si>
  <si>
    <t>9787537160520</t>
  </si>
  <si>
    <t>53716053</t>
  </si>
  <si>
    <t>9787537160537</t>
  </si>
  <si>
    <t>53716054</t>
  </si>
  <si>
    <t>9787537160544</t>
  </si>
  <si>
    <t>53716612</t>
  </si>
  <si>
    <t>9787537166126</t>
  </si>
  <si>
    <t>53716617</t>
  </si>
  <si>
    <t>9787537166171</t>
  </si>
  <si>
    <t>53716618</t>
  </si>
  <si>
    <t>9787537166188</t>
  </si>
  <si>
    <t>53716738</t>
  </si>
  <si>
    <t>9787537167383</t>
  </si>
  <si>
    <t>53716740</t>
  </si>
  <si>
    <t>9787537167406</t>
  </si>
  <si>
    <t>53716741</t>
  </si>
  <si>
    <t>9787537167413</t>
  </si>
  <si>
    <t>53716742</t>
  </si>
  <si>
    <t>9787537167420</t>
  </si>
  <si>
    <t>53716744</t>
  </si>
  <si>
    <t>9787537167444</t>
  </si>
  <si>
    <t>53717289</t>
  </si>
  <si>
    <t>9787537172899</t>
  </si>
  <si>
    <t>53717295</t>
  </si>
  <si>
    <t>9787537172950</t>
  </si>
  <si>
    <t>53717703</t>
  </si>
  <si>
    <t>9787537177030</t>
  </si>
  <si>
    <t>53717704</t>
  </si>
  <si>
    <t>9787537177047</t>
  </si>
  <si>
    <t>53717705</t>
  </si>
  <si>
    <t>9787537177054</t>
  </si>
  <si>
    <t>53717707</t>
  </si>
  <si>
    <t>9787537177078</t>
  </si>
  <si>
    <t>53717871</t>
  </si>
  <si>
    <t>9787537178716</t>
  </si>
  <si>
    <t>53717872</t>
  </si>
  <si>
    <t>9787537178723</t>
  </si>
  <si>
    <t>53717873</t>
  </si>
  <si>
    <t>9787537178730</t>
  </si>
  <si>
    <t>53717875</t>
  </si>
  <si>
    <t>9787537178754</t>
  </si>
  <si>
    <t>53717876</t>
  </si>
  <si>
    <t>9787537178761</t>
  </si>
  <si>
    <t>53717877</t>
  </si>
  <si>
    <t>9787537178778</t>
  </si>
  <si>
    <t>53717879</t>
  </si>
  <si>
    <t>9787537178792</t>
  </si>
  <si>
    <t>53717880</t>
  </si>
  <si>
    <t>9787537178808</t>
  </si>
  <si>
    <t>53717881</t>
  </si>
  <si>
    <t>9787537178815</t>
  </si>
  <si>
    <t>53717882</t>
  </si>
  <si>
    <t>9787537178822</t>
  </si>
  <si>
    <t>53717883</t>
  </si>
  <si>
    <t>9787537178839</t>
  </si>
  <si>
    <t>53717884</t>
  </si>
  <si>
    <t>9787537178846</t>
  </si>
  <si>
    <t>53717885</t>
  </si>
  <si>
    <t>9787537178853</t>
  </si>
  <si>
    <t>53718029</t>
  </si>
  <si>
    <t>9787537180290</t>
  </si>
  <si>
    <t>53718030</t>
  </si>
  <si>
    <t>9787537180306</t>
  </si>
  <si>
    <t>53718031</t>
  </si>
  <si>
    <t>9787537180313</t>
  </si>
  <si>
    <t>53718033</t>
  </si>
  <si>
    <t>9787537180337</t>
  </si>
  <si>
    <t>53718034</t>
  </si>
  <si>
    <t>9787537180344</t>
  </si>
  <si>
    <t>53718035</t>
  </si>
  <si>
    <t>9787537180351</t>
  </si>
  <si>
    <t>53718037</t>
  </si>
  <si>
    <t>9787537180375</t>
  </si>
  <si>
    <t>53718038</t>
  </si>
  <si>
    <t>9787537180382</t>
  </si>
  <si>
    <t>53718039</t>
  </si>
  <si>
    <t>9787537180399</t>
  </si>
  <si>
    <t>53718040</t>
  </si>
  <si>
    <t>9787537180405</t>
  </si>
  <si>
    <t>53718047</t>
  </si>
  <si>
    <t>9787537180474</t>
  </si>
  <si>
    <t>53718058</t>
  </si>
  <si>
    <t>9787537180580</t>
  </si>
  <si>
    <t>53718059</t>
  </si>
  <si>
    <t>9787537180597</t>
  </si>
  <si>
    <t>53718544</t>
  </si>
  <si>
    <t>9787537185448</t>
  </si>
  <si>
    <t>53718546</t>
  </si>
  <si>
    <t>9787537185462</t>
  </si>
  <si>
    <t>53718796</t>
  </si>
  <si>
    <t>9787537187961</t>
  </si>
  <si>
    <t>53718803</t>
  </si>
  <si>
    <t>9787537188036</t>
  </si>
  <si>
    <t>53718804</t>
  </si>
  <si>
    <t>9787537188043</t>
  </si>
  <si>
    <t>53718934</t>
  </si>
  <si>
    <t>9787537189347</t>
  </si>
  <si>
    <t>53719114</t>
  </si>
  <si>
    <t>9787537191142</t>
  </si>
  <si>
    <t>53719115</t>
  </si>
  <si>
    <t>9787537191159</t>
  </si>
  <si>
    <t>53719116</t>
  </si>
  <si>
    <t>9787537191166</t>
  </si>
  <si>
    <t>53719117</t>
  </si>
  <si>
    <t>9787537191173</t>
  </si>
  <si>
    <t>53719118</t>
  </si>
  <si>
    <t>9787537191180</t>
  </si>
  <si>
    <t>53719224</t>
  </si>
  <si>
    <t>9787537192248</t>
  </si>
  <si>
    <t>53719224B</t>
  </si>
  <si>
    <t>森林報(夏)</t>
  </si>
  <si>
    <t>53719224C</t>
  </si>
  <si>
    <t>森林報(秋)</t>
  </si>
  <si>
    <t>53719224D</t>
  </si>
  <si>
    <t>森林報(冬)</t>
  </si>
  <si>
    <t>53719240</t>
  </si>
  <si>
    <t>9787537192408</t>
  </si>
  <si>
    <t>少兒紅色經典叢書‧小馬倌和“大皮靴”叔叔</t>
    <phoneticPr fontId="8" type="noConversion"/>
  </si>
  <si>
    <t>53719241</t>
  </si>
  <si>
    <t>9787537192415</t>
  </si>
  <si>
    <t>53719242</t>
  </si>
  <si>
    <t>9787537192422</t>
  </si>
  <si>
    <t>53719304</t>
  </si>
  <si>
    <t>9787537193047</t>
  </si>
  <si>
    <t>53719306</t>
  </si>
  <si>
    <t>9787537193061</t>
  </si>
  <si>
    <t>53719307</t>
  </si>
  <si>
    <t>9787537193078</t>
  </si>
  <si>
    <t>53719308</t>
  </si>
  <si>
    <t>9787537193085</t>
  </si>
  <si>
    <t>53719309</t>
  </si>
  <si>
    <t>9787537193092</t>
  </si>
  <si>
    <t>53719310</t>
  </si>
  <si>
    <t>9787537193108</t>
  </si>
  <si>
    <t>53719311</t>
  </si>
  <si>
    <t>9787537193115</t>
  </si>
  <si>
    <t>53719313</t>
  </si>
  <si>
    <t>9787537193139</t>
  </si>
  <si>
    <t>53719314</t>
  </si>
  <si>
    <t>9787537193146</t>
  </si>
  <si>
    <t>53719315</t>
  </si>
  <si>
    <t>9787537193153</t>
  </si>
  <si>
    <t>53719316</t>
  </si>
  <si>
    <t>9787537193160</t>
  </si>
  <si>
    <t>53719317</t>
  </si>
  <si>
    <t>9787537193177</t>
  </si>
  <si>
    <t>53719318</t>
  </si>
  <si>
    <t>9787537193184</t>
  </si>
  <si>
    <t>53719322</t>
  </si>
  <si>
    <t>9787537193221</t>
  </si>
  <si>
    <t>53719328</t>
  </si>
  <si>
    <t>9787537193283</t>
  </si>
  <si>
    <t>53719815</t>
  </si>
  <si>
    <t>9787537198158</t>
  </si>
  <si>
    <t>53719994</t>
  </si>
  <si>
    <t>9787537199940</t>
  </si>
  <si>
    <t>54800167</t>
  </si>
  <si>
    <t>9787548001676</t>
  </si>
  <si>
    <t>李洗熙</t>
  </si>
  <si>
    <t>54800171</t>
  </si>
  <si>
    <t>9787548001713</t>
  </si>
  <si>
    <t>金龍俊</t>
  </si>
  <si>
    <t>55050489</t>
  </si>
  <si>
    <t>9787551504898</t>
  </si>
  <si>
    <t>55150042</t>
  </si>
  <si>
    <t>9787551500425</t>
  </si>
  <si>
    <t>55150043</t>
  </si>
  <si>
    <t>9787551500432</t>
  </si>
  <si>
    <t>55150044</t>
  </si>
  <si>
    <t>9787551500449</t>
  </si>
  <si>
    <t>55150358</t>
  </si>
  <si>
    <t>9787551503587</t>
  </si>
  <si>
    <t>55150360</t>
  </si>
  <si>
    <t>9787551503600</t>
  </si>
  <si>
    <t>55150466</t>
  </si>
  <si>
    <t>9787551504669</t>
  </si>
  <si>
    <t>55150467</t>
  </si>
  <si>
    <t>9787551504676</t>
  </si>
  <si>
    <t>55150468</t>
  </si>
  <si>
    <t>9787551504683</t>
  </si>
  <si>
    <t>55150469</t>
  </si>
  <si>
    <t>9787551504690</t>
  </si>
  <si>
    <t>55150470</t>
  </si>
  <si>
    <t>9787551504706</t>
  </si>
  <si>
    <t>55150471</t>
  </si>
  <si>
    <t>9787551504713</t>
  </si>
  <si>
    <t>55150472</t>
  </si>
  <si>
    <t>9787551504720</t>
  </si>
  <si>
    <t>55150473</t>
  </si>
  <si>
    <t>9787551504737</t>
  </si>
  <si>
    <t>55150474</t>
  </si>
  <si>
    <t>9787551504744</t>
  </si>
  <si>
    <t>55150476</t>
  </si>
  <si>
    <t>9787551504768</t>
  </si>
  <si>
    <t>55150477</t>
  </si>
  <si>
    <t>9787551504775</t>
  </si>
  <si>
    <t>55150478</t>
  </si>
  <si>
    <t>9787551504782</t>
  </si>
  <si>
    <t>55150479</t>
  </si>
  <si>
    <t>9787551504799</t>
  </si>
  <si>
    <t>55150480</t>
  </si>
  <si>
    <t>9787551504805</t>
  </si>
  <si>
    <t>55150481</t>
  </si>
  <si>
    <t>9787551504812</t>
  </si>
  <si>
    <t>55150482</t>
  </si>
  <si>
    <t>9787551504829</t>
  </si>
  <si>
    <t>55150483</t>
  </si>
  <si>
    <t>9787551504836</t>
  </si>
  <si>
    <t>55150484</t>
  </si>
  <si>
    <t>9787551504843</t>
  </si>
  <si>
    <t>55150486</t>
  </si>
  <si>
    <t>9787551504867</t>
  </si>
  <si>
    <t>55150487</t>
  </si>
  <si>
    <t>9787551504874</t>
  </si>
  <si>
    <t>55150488</t>
  </si>
  <si>
    <t>9787551504881</t>
  </si>
  <si>
    <t>55150490</t>
  </si>
  <si>
    <t>9787551504904</t>
  </si>
  <si>
    <t>55150491</t>
  </si>
  <si>
    <t>9787551504911</t>
  </si>
  <si>
    <t>55150492</t>
  </si>
  <si>
    <t>9787551504928</t>
  </si>
  <si>
    <t>55150493</t>
  </si>
  <si>
    <t>9787551504935</t>
  </si>
  <si>
    <t>55150651</t>
  </si>
  <si>
    <t>9787551506519</t>
  </si>
  <si>
    <t>55150863</t>
  </si>
  <si>
    <t>9787551508636</t>
  </si>
  <si>
    <t>55151650</t>
  </si>
  <si>
    <t>9787551516501</t>
  </si>
  <si>
    <t>55151708</t>
  </si>
  <si>
    <t>9787551517089</t>
  </si>
  <si>
    <t>55151710</t>
  </si>
  <si>
    <t>9787551517102</t>
  </si>
  <si>
    <t>55151712</t>
  </si>
  <si>
    <t>9787551517126</t>
  </si>
  <si>
    <t>56015371</t>
  </si>
  <si>
    <t>9787560153711</t>
  </si>
  <si>
    <t>金德喜</t>
  </si>
  <si>
    <t>80244412</t>
  </si>
  <si>
    <t>9787802444126</t>
  </si>
  <si>
    <t>鄭鈞</t>
  </si>
  <si>
    <t>80244580</t>
  </si>
  <si>
    <t>9787802445802</t>
  </si>
  <si>
    <t>畢寶魁</t>
  </si>
  <si>
    <t>80244582</t>
  </si>
  <si>
    <t>9787802445826</t>
  </si>
  <si>
    <t>傅威海</t>
  </si>
  <si>
    <t>80244583</t>
  </si>
  <si>
    <t>9787802445833</t>
  </si>
  <si>
    <t>80656577C</t>
  </si>
  <si>
    <t>7806565779</t>
  </si>
  <si>
    <t>吳承恩</t>
  </si>
  <si>
    <t>80656578A</t>
  </si>
  <si>
    <t>7806565787</t>
  </si>
  <si>
    <t>80656578B</t>
  </si>
  <si>
    <t>80656578C</t>
  </si>
  <si>
    <t>80656887A</t>
  </si>
  <si>
    <t>7806568875</t>
  </si>
  <si>
    <t>(明)吳承恩</t>
  </si>
  <si>
    <t>80656887B</t>
  </si>
  <si>
    <t>80656887C</t>
  </si>
  <si>
    <t>80656906A</t>
  </si>
  <si>
    <t>7806569065</t>
  </si>
  <si>
    <t>80656906B</t>
  </si>
  <si>
    <t>80656906C</t>
  </si>
  <si>
    <t>80679379</t>
  </si>
  <si>
    <t>7806793798</t>
  </si>
  <si>
    <t>楊紅櫻</t>
  </si>
  <si>
    <t>80679484</t>
  </si>
  <si>
    <t>7806794840</t>
  </si>
  <si>
    <t>80679718</t>
  </si>
  <si>
    <t>7806797181</t>
  </si>
  <si>
    <t>鄭春華</t>
  </si>
  <si>
    <t>80679720</t>
  </si>
  <si>
    <t>7806797203</t>
  </si>
  <si>
    <t>80679951</t>
  </si>
  <si>
    <t>7806799516</t>
  </si>
  <si>
    <t>80679960</t>
  </si>
  <si>
    <t>7806799605</t>
  </si>
  <si>
    <t>葛冰</t>
  </si>
  <si>
    <t>80679962</t>
  </si>
  <si>
    <t>7806799621</t>
  </si>
  <si>
    <t>80690827</t>
  </si>
  <si>
    <t>7806908277</t>
  </si>
  <si>
    <t>閔小玲</t>
  </si>
  <si>
    <t>80732147</t>
  </si>
  <si>
    <t>7807321474</t>
  </si>
  <si>
    <t>冰波</t>
  </si>
  <si>
    <t>80732199</t>
  </si>
  <si>
    <t>7807321997</t>
  </si>
  <si>
    <t>80732200</t>
  </si>
  <si>
    <t>7807322004</t>
  </si>
  <si>
    <t>80732201</t>
  </si>
  <si>
    <t>7807322012</t>
  </si>
  <si>
    <t>80732202</t>
  </si>
  <si>
    <t>7807322020</t>
  </si>
  <si>
    <t>分類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</si>
</sst>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76" formatCode="0_ "/>
    <numFmt numFmtId="177" formatCode="0.00_);[Red]\(0.00\)"/>
  </numFmts>
  <fonts count="20" x14ac:knownFonts="1">
    <font>
      <sz val="12"/>
      <color theme="1"/>
      <name val="新細明體"/>
      <family val="1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sz val="10"/>
      <color theme="1"/>
      <name val="新細明體"/>
      <family val="1"/>
      <charset val="136"/>
    </font>
    <font>
      <sz val="8"/>
      <color theme="1"/>
      <name val="新細明體"/>
      <family val="1"/>
      <charset val="136"/>
    </font>
    <font>
      <b/>
      <sz val="10"/>
      <color theme="1"/>
      <name val="新細明體"/>
      <family val="1"/>
      <charset val="136"/>
    </font>
    <font>
      <b/>
      <sz val="12"/>
      <color theme="1"/>
      <name val="華康中黑體"/>
      <family val="3"/>
      <charset val="136"/>
    </font>
    <font>
      <sz val="10"/>
      <color indexed="8"/>
      <name val="新細明體"/>
      <family val="1"/>
      <charset val="136"/>
    </font>
    <font>
      <b/>
      <sz val="10"/>
      <color indexed="8"/>
      <name val="新細明體"/>
      <family val="1"/>
      <charset val="136"/>
    </font>
    <font>
      <sz val="9"/>
      <name val="新細明體"/>
      <family val="1"/>
      <charset val="136"/>
      <scheme val="minor"/>
    </font>
    <font>
      <sz val="12"/>
      <color rgb="FFFF0000"/>
      <name val="新細明體"/>
      <family val="1"/>
      <charset val="136"/>
      <scheme val="minor"/>
    </font>
    <font>
      <b/>
      <sz val="12"/>
      <color indexed="8"/>
      <name val="華康中黑體"/>
      <family val="3"/>
      <charset val="136"/>
    </font>
    <font>
      <b/>
      <sz val="12"/>
      <color rgb="FF000000"/>
      <name val="華康中黑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1">
    <xf numFmtId="0" fontId="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76" fontId="10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7" fontId="10" fillId="0" borderId="1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12" fillId="0" borderId="1" xfId="0" applyFont="1" applyBorder="1" applyAlignment="1">
      <alignment vertical="center" wrapText="1"/>
    </xf>
    <xf numFmtId="0" fontId="12" fillId="2" borderId="1" xfId="0" applyFont="1" applyFill="1" applyBorder="1">
      <alignment vertical="center"/>
    </xf>
    <xf numFmtId="176" fontId="10" fillId="0" borderId="1" xfId="0" applyNumberFormat="1" applyFont="1" applyBorder="1">
      <alignment vertical="center"/>
    </xf>
    <xf numFmtId="176" fontId="10" fillId="0" borderId="1" xfId="0" quotePrefix="1" applyNumberFormat="1" applyFont="1" applyBorder="1">
      <alignment vertical="center"/>
    </xf>
    <xf numFmtId="0" fontId="11" fillId="0" borderId="1" xfId="0" applyFont="1" applyBorder="1">
      <alignment vertical="center"/>
    </xf>
    <xf numFmtId="176" fontId="10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176" fontId="14" fillId="0" borderId="0" xfId="0" applyNumberFormat="1" applyFont="1">
      <alignment vertical="center"/>
    </xf>
    <xf numFmtId="0" fontId="14" fillId="0" borderId="0" xfId="0" applyFont="1">
      <alignment vertical="center"/>
    </xf>
    <xf numFmtId="0" fontId="15" fillId="0" borderId="0" xfId="0" applyFont="1" applyAlignment="1">
      <alignment vertical="center" wrapText="1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horizontal="center" vertical="center"/>
    </xf>
    <xf numFmtId="0" fontId="17" fillId="0" borderId="0" xfId="0" applyFont="1">
      <alignment vertical="center"/>
    </xf>
    <xf numFmtId="0" fontId="12" fillId="0" borderId="1" xfId="0" applyFont="1" applyBorder="1">
      <alignment vertical="center"/>
    </xf>
    <xf numFmtId="0" fontId="9" fillId="0" borderId="0" xfId="0" applyFont="1">
      <alignment vertical="center"/>
    </xf>
    <xf numFmtId="0" fontId="18" fillId="0" borderId="1" xfId="0" applyFont="1" applyBorder="1" applyAlignment="1">
      <alignment horizontal="left" vertical="center" wrapText="1"/>
    </xf>
    <xf numFmtId="176" fontId="14" fillId="0" borderId="1" xfId="0" applyNumberFormat="1" applyFont="1" applyBorder="1">
      <alignment vertical="center"/>
    </xf>
    <xf numFmtId="0" fontId="15" fillId="0" borderId="1" xfId="0" applyFont="1" applyBorder="1" applyAlignment="1">
      <alignment vertical="center" wrapText="1"/>
    </xf>
    <xf numFmtId="0" fontId="15" fillId="2" borderId="1" xfId="0" applyFont="1" applyFill="1" applyBorder="1">
      <alignment vertical="center"/>
    </xf>
  </cellXfs>
  <cellStyles count="11">
    <cellStyle name="一般" xfId="0" builtinId="0"/>
    <cellStyle name="一般 2" xfId="1" xr:uid="{00000000-0005-0000-0000-000001000000}"/>
    <cellStyle name="一般 3" xfId="2" xr:uid="{00000000-0005-0000-0000-000002000000}"/>
    <cellStyle name="一般 4" xfId="3" xr:uid="{00000000-0005-0000-0000-000003000000}"/>
    <cellStyle name="一般 5" xfId="4" xr:uid="{00000000-0005-0000-0000-000004000000}"/>
    <cellStyle name="一般 6" xfId="5" xr:uid="{00000000-0005-0000-0000-000005000000}"/>
    <cellStyle name="一般 7" xfId="6" xr:uid="{00000000-0005-0000-0000-000006000000}"/>
    <cellStyle name="一般 8" xfId="7" xr:uid="{00000000-0005-0000-0000-000007000000}"/>
    <cellStyle name="一般 9" xfId="8" xr:uid="{00000000-0005-0000-0000-000008000000}"/>
    <cellStyle name="千分位 2" xfId="10" xr:uid="{00000000-0005-0000-0000-000009000000}"/>
    <cellStyle name="貨幣 2" xfId="9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題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1522"/>
  <sheetViews>
    <sheetView tabSelected="1" zoomScaleNormal="100" workbookViewId="0">
      <pane ySplit="1" topLeftCell="A20" activePane="bottomLeft" state="frozen"/>
      <selection pane="bottomLeft" activeCell="E267" sqref="E267"/>
    </sheetView>
  </sheetViews>
  <sheetFormatPr defaultColWidth="8.875" defaultRowHeight="16.5" x14ac:dyDescent="0.25"/>
  <cols>
    <col min="1" max="1" width="5.375" style="15" bestFit="1" customWidth="1"/>
    <col min="2" max="2" width="4.875" style="15" customWidth="1"/>
    <col min="3" max="3" width="8.625" style="16" customWidth="1"/>
    <col min="4" max="4" width="14.125" style="16" customWidth="1"/>
    <col min="5" max="5" width="33.75" style="17" customWidth="1"/>
    <col min="6" max="6" width="9.625" style="17" customWidth="1"/>
    <col min="7" max="7" width="10.125" style="18" customWidth="1"/>
    <col min="8" max="8" width="7.625" style="17" customWidth="1"/>
    <col min="9" max="9" width="5.625" style="17" customWidth="1"/>
    <col min="10" max="10" width="6.625" style="17" customWidth="1"/>
    <col min="11" max="11" width="20" style="17" bestFit="1" customWidth="1"/>
  </cols>
  <sheetData>
    <row r="1" spans="1:11" ht="29.25" thickBot="1" x14ac:dyDescent="0.3">
      <c r="A1" s="1" t="s">
        <v>1305</v>
      </c>
      <c r="B1" s="1" t="s">
        <v>1306</v>
      </c>
      <c r="C1" s="3" t="s">
        <v>310</v>
      </c>
      <c r="D1" s="1" t="s">
        <v>1308</v>
      </c>
      <c r="E1" s="4" t="s">
        <v>311</v>
      </c>
      <c r="F1" s="1" t="s">
        <v>1191</v>
      </c>
      <c r="G1" s="1" t="s">
        <v>751</v>
      </c>
      <c r="H1" s="1" t="s">
        <v>1307</v>
      </c>
      <c r="I1" s="2" t="s">
        <v>309</v>
      </c>
      <c r="J1" s="1" t="s">
        <v>1309</v>
      </c>
      <c r="K1" s="1" t="s">
        <v>4065</v>
      </c>
    </row>
    <row r="2" spans="1:11" ht="17.25" thickTop="1" x14ac:dyDescent="0.25">
      <c r="A2" s="19" t="s">
        <v>1314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x14ac:dyDescent="0.25">
      <c r="A3" s="5">
        <v>1</v>
      </c>
      <c r="B3" s="5">
        <v>1</v>
      </c>
      <c r="C3" s="6" t="s">
        <v>847</v>
      </c>
      <c r="D3" s="7" t="s">
        <v>1349</v>
      </c>
      <c r="E3" s="8" t="str">
        <f>T("古代小說與歷史")</f>
        <v>古代小說與歷史</v>
      </c>
      <c r="F3" s="7" t="s">
        <v>1962</v>
      </c>
      <c r="G3" s="7" t="str">
        <f>T("山西人民")</f>
        <v>山西人民</v>
      </c>
      <c r="H3" s="7" t="str">
        <f>T("")</f>
        <v/>
      </c>
      <c r="I3" s="7">
        <v>8</v>
      </c>
      <c r="J3" s="7">
        <v>48</v>
      </c>
      <c r="K3" s="9" t="s">
        <v>1317</v>
      </c>
    </row>
    <row r="4" spans="1:11" x14ac:dyDescent="0.25">
      <c r="A4" s="5">
        <v>2</v>
      </c>
      <c r="B4" s="5">
        <v>2</v>
      </c>
      <c r="C4" s="6" t="s">
        <v>848</v>
      </c>
      <c r="D4" s="7" t="s">
        <v>1350</v>
      </c>
      <c r="E4" s="8" t="str">
        <f>T("古代小說作家簡論")</f>
        <v>古代小說作家簡論</v>
      </c>
      <c r="F4" s="7" t="s">
        <v>1962</v>
      </c>
      <c r="G4" s="7" t="str">
        <f>T("山西人民")</f>
        <v>山西人民</v>
      </c>
      <c r="H4" s="7" t="str">
        <f>T("")</f>
        <v/>
      </c>
      <c r="I4" s="7">
        <v>8</v>
      </c>
      <c r="J4" s="7">
        <v>48</v>
      </c>
      <c r="K4" s="9" t="s">
        <v>1317</v>
      </c>
    </row>
    <row r="5" spans="1:11" x14ac:dyDescent="0.25">
      <c r="A5" s="5">
        <v>3</v>
      </c>
      <c r="B5" s="5">
        <v>3</v>
      </c>
      <c r="C5" s="6" t="s">
        <v>849</v>
      </c>
      <c r="D5" s="7" t="s">
        <v>1350</v>
      </c>
      <c r="E5" s="8" t="str">
        <f>T("古代小說史料簡論")</f>
        <v>古代小說史料簡論</v>
      </c>
      <c r="F5" s="7" t="s">
        <v>1962</v>
      </c>
      <c r="G5" s="7" t="str">
        <f>T("山西人民")</f>
        <v>山西人民</v>
      </c>
      <c r="H5" s="7" t="str">
        <f>T("")</f>
        <v/>
      </c>
      <c r="I5" s="7">
        <v>8</v>
      </c>
      <c r="J5" s="7">
        <v>48</v>
      </c>
      <c r="K5" s="9" t="s">
        <v>1317</v>
      </c>
    </row>
    <row r="6" spans="1:11" x14ac:dyDescent="0.25">
      <c r="A6" s="5">
        <v>4</v>
      </c>
      <c r="B6" s="5">
        <v>4</v>
      </c>
      <c r="C6" s="6" t="s">
        <v>838</v>
      </c>
      <c r="D6" s="7" t="s">
        <v>1351</v>
      </c>
      <c r="E6" s="8" t="s">
        <v>1310</v>
      </c>
      <c r="F6" s="7" t="s">
        <v>2608</v>
      </c>
      <c r="G6" s="7" t="str">
        <f>T("中國社科")</f>
        <v>中國社科</v>
      </c>
      <c r="H6" s="7" t="str">
        <f>T("20080601")</f>
        <v>20080601</v>
      </c>
      <c r="I6" s="7">
        <v>39</v>
      </c>
      <c r="J6" s="7">
        <v>234</v>
      </c>
      <c r="K6" s="9" t="s">
        <v>1317</v>
      </c>
    </row>
    <row r="7" spans="1:11" x14ac:dyDescent="0.25">
      <c r="A7" s="5">
        <v>5</v>
      </c>
      <c r="B7" s="5">
        <v>5</v>
      </c>
      <c r="C7" s="6" t="s">
        <v>551</v>
      </c>
      <c r="D7" s="7" t="s">
        <v>1352</v>
      </c>
      <c r="E7" s="8" t="s">
        <v>1311</v>
      </c>
      <c r="F7" s="7" t="s">
        <v>2609</v>
      </c>
      <c r="G7" s="7" t="str">
        <f>T("中國社科")</f>
        <v>中國社科</v>
      </c>
      <c r="H7" s="7" t="str">
        <f>T("20110101")</f>
        <v>20110101</v>
      </c>
      <c r="I7" s="7">
        <v>29</v>
      </c>
      <c r="J7" s="7">
        <v>174</v>
      </c>
      <c r="K7" s="9" t="s">
        <v>1317</v>
      </c>
    </row>
    <row r="8" spans="1:11" x14ac:dyDescent="0.25">
      <c r="A8" s="5">
        <v>6</v>
      </c>
      <c r="B8" s="5">
        <v>6</v>
      </c>
      <c r="C8" s="6" t="s">
        <v>8</v>
      </c>
      <c r="D8" s="7" t="s">
        <v>1353</v>
      </c>
      <c r="E8" s="8" t="str">
        <f>T("張竹坡與《金瓶梅》研究")</f>
        <v>張竹坡與《金瓶梅》研究</v>
      </c>
      <c r="F8" s="7" t="s">
        <v>2610</v>
      </c>
      <c r="G8" s="7" t="str">
        <f>T("文物")</f>
        <v>文物</v>
      </c>
      <c r="H8" s="7" t="str">
        <f>T("20090201")</f>
        <v>20090201</v>
      </c>
      <c r="I8" s="7">
        <v>68</v>
      </c>
      <c r="J8" s="7">
        <v>408</v>
      </c>
      <c r="K8" s="9" t="s">
        <v>1317</v>
      </c>
    </row>
    <row r="9" spans="1:11" x14ac:dyDescent="0.25">
      <c r="A9" s="5">
        <v>7</v>
      </c>
      <c r="B9" s="5">
        <v>7</v>
      </c>
      <c r="C9" s="6" t="s">
        <v>755</v>
      </c>
      <c r="D9" s="7" t="s">
        <v>1354</v>
      </c>
      <c r="E9" s="8" t="str">
        <f>T("乾嘉文言小說研究")</f>
        <v>乾嘉文言小說研究</v>
      </c>
      <c r="F9" s="7" t="s">
        <v>2611</v>
      </c>
      <c r="G9" s="7" t="str">
        <f>T("北京圖書館")</f>
        <v>北京圖書館</v>
      </c>
      <c r="H9" s="7" t="str">
        <f>T("20091201")</f>
        <v>20091201</v>
      </c>
      <c r="I9" s="7">
        <v>25</v>
      </c>
      <c r="J9" s="7">
        <v>150</v>
      </c>
      <c r="K9" s="9" t="s">
        <v>1317</v>
      </c>
    </row>
    <row r="10" spans="1:11" x14ac:dyDescent="0.25">
      <c r="A10" s="5">
        <v>8</v>
      </c>
      <c r="B10" s="5">
        <v>8</v>
      </c>
      <c r="C10" s="6" t="s">
        <v>250</v>
      </c>
      <c r="D10" s="7" t="s">
        <v>1355</v>
      </c>
      <c r="E10" s="8" t="str">
        <f>T("中國現代小說的市井敘事")</f>
        <v>中國現代小說的市井敘事</v>
      </c>
      <c r="F10" s="7" t="s">
        <v>2612</v>
      </c>
      <c r="G10" s="7" t="str">
        <f>T("學苑")</f>
        <v>學苑</v>
      </c>
      <c r="H10" s="7" t="str">
        <f>T("20080301")</f>
        <v>20080301</v>
      </c>
      <c r="I10" s="7">
        <v>30</v>
      </c>
      <c r="J10" s="7">
        <v>180</v>
      </c>
      <c r="K10" s="9" t="s">
        <v>1317</v>
      </c>
    </row>
    <row r="11" spans="1:11" ht="28.5" x14ac:dyDescent="0.25">
      <c r="A11" s="5">
        <v>9</v>
      </c>
      <c r="B11" s="5">
        <v>9</v>
      </c>
      <c r="C11" s="6" t="s">
        <v>40</v>
      </c>
      <c r="D11" s="7" t="s">
        <v>1356</v>
      </c>
      <c r="E11" s="8" t="str">
        <f>T("談狐說鬼話《聊齋》(中國社會科學院老年學者文庫)")</f>
        <v>談狐說鬼話《聊齋》(中國社會科學院老年學者文庫)</v>
      </c>
      <c r="F11" s="7" t="s">
        <v>2613</v>
      </c>
      <c r="G11" s="7" t="str">
        <f>T("社科文獻")</f>
        <v>社科文獻</v>
      </c>
      <c r="H11" s="7" t="str">
        <f>T("20090901")</f>
        <v>20090901</v>
      </c>
      <c r="I11" s="7">
        <v>45</v>
      </c>
      <c r="J11" s="7">
        <v>270</v>
      </c>
      <c r="K11" s="9" t="s">
        <v>1317</v>
      </c>
    </row>
    <row r="12" spans="1:11" x14ac:dyDescent="0.25">
      <c r="A12" s="5">
        <v>10</v>
      </c>
      <c r="B12" s="5">
        <v>10</v>
      </c>
      <c r="C12" s="6" t="s">
        <v>620</v>
      </c>
      <c r="D12" s="7" t="s">
        <v>1357</v>
      </c>
      <c r="E12" s="8" t="str">
        <f>T("聊齋風俗文化論")</f>
        <v>聊齋風俗文化論</v>
      </c>
      <c r="F12" s="7" t="s">
        <v>2614</v>
      </c>
      <c r="G12" s="7" t="str">
        <f>T("齊魯書社")</f>
        <v>齊魯書社</v>
      </c>
      <c r="H12" s="7" t="str">
        <f>T("20081201")</f>
        <v>20081201</v>
      </c>
      <c r="I12" s="7">
        <v>30</v>
      </c>
      <c r="J12" s="7">
        <v>180</v>
      </c>
      <c r="K12" s="9" t="s">
        <v>1317</v>
      </c>
    </row>
    <row r="13" spans="1:11" x14ac:dyDescent="0.25">
      <c r="A13" s="5">
        <v>11</v>
      </c>
      <c r="B13" s="5">
        <v>11</v>
      </c>
      <c r="C13" s="6" t="s">
        <v>630</v>
      </c>
      <c r="D13" s="7" t="s">
        <v>1358</v>
      </c>
      <c r="E13" s="8" t="str">
        <f>T("《水滸傳》詮釋史論")</f>
        <v>《水滸傳》詮釋史論</v>
      </c>
      <c r="F13" s="7" t="s">
        <v>2615</v>
      </c>
      <c r="G13" s="7" t="str">
        <f>T("齊魯書社")</f>
        <v>齊魯書社</v>
      </c>
      <c r="H13" s="7" t="str">
        <f>T("20091201")</f>
        <v>20091201</v>
      </c>
      <c r="I13" s="7">
        <v>40</v>
      </c>
      <c r="J13" s="7">
        <v>240</v>
      </c>
      <c r="K13" s="9" t="s">
        <v>1317</v>
      </c>
    </row>
    <row r="14" spans="1:11" x14ac:dyDescent="0.25">
      <c r="A14" s="5">
        <v>12</v>
      </c>
      <c r="B14" s="5">
        <v>12</v>
      </c>
      <c r="C14" s="6" t="s">
        <v>320</v>
      </c>
      <c r="D14" s="7" t="s">
        <v>1359</v>
      </c>
      <c r="E14" s="8" t="str">
        <f>T("品讀水滸（上中下）")</f>
        <v>品讀水滸（上中下）</v>
      </c>
      <c r="F14" s="7" t="s">
        <v>2616</v>
      </c>
      <c r="G14" s="7" t="str">
        <f>T("光明日報")</f>
        <v>光明日報</v>
      </c>
      <c r="H14" s="7" t="str">
        <f>T("20080101")</f>
        <v>20080101</v>
      </c>
      <c r="I14" s="7">
        <v>88.8</v>
      </c>
      <c r="J14" s="7">
        <v>533</v>
      </c>
      <c r="K14" s="9" t="s">
        <v>1317</v>
      </c>
    </row>
    <row r="15" spans="1:11" x14ac:dyDescent="0.25">
      <c r="A15" s="5">
        <v>13</v>
      </c>
      <c r="B15" s="5">
        <v>13</v>
      </c>
      <c r="C15" s="6" t="s">
        <v>105</v>
      </c>
      <c r="D15" s="7" t="s">
        <v>1360</v>
      </c>
      <c r="E15" s="8" t="str">
        <f>T("水滸傳-博學天下")</f>
        <v>水滸傳-博學天下</v>
      </c>
      <c r="F15" s="7" t="s">
        <v>2617</v>
      </c>
      <c r="G15" s="7" t="str">
        <f>T("吉林攝影")</f>
        <v>吉林攝影</v>
      </c>
      <c r="H15" s="7" t="str">
        <f>T("20090501")</f>
        <v>20090501</v>
      </c>
      <c r="I15" s="7">
        <v>19.8</v>
      </c>
      <c r="J15" s="7">
        <v>119</v>
      </c>
      <c r="K15" s="9" t="s">
        <v>1317</v>
      </c>
    </row>
    <row r="16" spans="1:11" ht="28.5" x14ac:dyDescent="0.25">
      <c r="A16" s="5">
        <v>14</v>
      </c>
      <c r="B16" s="5">
        <v>14</v>
      </c>
      <c r="C16" s="6" t="s">
        <v>39</v>
      </c>
      <c r="D16" s="7" t="s">
        <v>1361</v>
      </c>
      <c r="E16" s="8" t="str">
        <f>T("存在之鏡與智慧之燈︰中國當代小說敘事及美學研究")</f>
        <v>存在之鏡與智慧之燈︰中國當代小說敘事及美學研究</v>
      </c>
      <c r="F16" s="7" t="s">
        <v>2618</v>
      </c>
      <c r="G16" s="7" t="str">
        <f>T("福建教育")</f>
        <v>福建教育</v>
      </c>
      <c r="H16" s="7" t="str">
        <f>T("20100101")</f>
        <v>20100101</v>
      </c>
      <c r="I16" s="7">
        <v>33</v>
      </c>
      <c r="J16" s="7">
        <v>198</v>
      </c>
      <c r="K16" s="9" t="s">
        <v>1317</v>
      </c>
    </row>
    <row r="17" spans="1:11" ht="28.5" x14ac:dyDescent="0.25">
      <c r="A17" s="5">
        <v>15</v>
      </c>
      <c r="B17" s="5">
        <v>15</v>
      </c>
      <c r="C17" s="6" t="s">
        <v>1007</v>
      </c>
      <c r="D17" s="7" t="s">
        <v>1362</v>
      </c>
      <c r="E17" s="8" t="str">
        <f>T("孤本善本小說影印點校合刊--文言話本小說（2函12冊）")</f>
        <v>孤本善本小說影印點校合刊--文言話本小說（2函12冊）</v>
      </c>
      <c r="F17" s="7" t="s">
        <v>2619</v>
      </c>
      <c r="G17" s="7" t="str">
        <f>T("線裝書局")</f>
        <v>線裝書局</v>
      </c>
      <c r="H17" s="7" t="str">
        <f>T("20031201")</f>
        <v>20031201</v>
      </c>
      <c r="I17" s="7">
        <v>1600</v>
      </c>
      <c r="J17" s="7">
        <v>9600</v>
      </c>
      <c r="K17" s="9" t="s">
        <v>1317</v>
      </c>
    </row>
    <row r="18" spans="1:11" x14ac:dyDescent="0.25">
      <c r="A18" s="5">
        <v>16</v>
      </c>
      <c r="B18" s="5">
        <v>16</v>
      </c>
      <c r="C18" s="6" t="s">
        <v>1242</v>
      </c>
      <c r="D18" s="7" t="s">
        <v>1363</v>
      </c>
      <c r="E18" s="8" t="str">
        <f>T("吳組緗薦古代白話小說")</f>
        <v>吳組緗薦古代白話小說</v>
      </c>
      <c r="F18" s="7" t="s">
        <v>2620</v>
      </c>
      <c r="G18" s="7" t="str">
        <f>T("廣陵書社")</f>
        <v>廣陵書社</v>
      </c>
      <c r="H18" s="7" t="str">
        <f>T("20041101")</f>
        <v>20041101</v>
      </c>
      <c r="I18" s="7">
        <v>18</v>
      </c>
      <c r="J18" s="7">
        <v>108</v>
      </c>
      <c r="K18" s="9" t="s">
        <v>1317</v>
      </c>
    </row>
    <row r="19" spans="1:11" x14ac:dyDescent="0.25">
      <c r="A19" s="5">
        <v>17</v>
      </c>
      <c r="B19" s="5">
        <v>17</v>
      </c>
      <c r="C19" s="6" t="s">
        <v>1155</v>
      </c>
      <c r="D19" s="7" t="s">
        <v>1364</v>
      </c>
      <c r="E19" s="8" t="str">
        <f>T("《新唐書藝文志》著錄小說集解")</f>
        <v>《新唐書藝文志》著錄小說集解</v>
      </c>
      <c r="F19" s="7" t="s">
        <v>2621</v>
      </c>
      <c r="G19" s="7" t="str">
        <f>T("嶽麓書社")</f>
        <v>嶽麓書社</v>
      </c>
      <c r="H19" s="7" t="str">
        <f>T("20090501")</f>
        <v>20090501</v>
      </c>
      <c r="I19" s="7">
        <v>168</v>
      </c>
      <c r="J19" s="7">
        <v>1008</v>
      </c>
      <c r="K19" s="9" t="s">
        <v>1317</v>
      </c>
    </row>
    <row r="20" spans="1:11" x14ac:dyDescent="0.25">
      <c r="A20" s="5">
        <v>18</v>
      </c>
      <c r="B20" s="5">
        <v>18</v>
      </c>
      <c r="C20" s="6" t="s">
        <v>106</v>
      </c>
      <c r="D20" s="7" t="s">
        <v>1365</v>
      </c>
      <c r="E20" s="8" t="str">
        <f>T("稗官與才人-中國古代小說考論")</f>
        <v>稗官與才人-中國古代小說考論</v>
      </c>
      <c r="F20" s="7" t="s">
        <v>2622</v>
      </c>
      <c r="G20" s="7" t="str">
        <f>T("嶽麓書社")</f>
        <v>嶽麓書社</v>
      </c>
      <c r="H20" s="7" t="str">
        <f>T("20100201")</f>
        <v>20100201</v>
      </c>
      <c r="I20" s="7">
        <v>25</v>
      </c>
      <c r="J20" s="7">
        <v>150</v>
      </c>
      <c r="K20" s="9" t="s">
        <v>1317</v>
      </c>
    </row>
    <row r="21" spans="1:11" x14ac:dyDescent="0.25">
      <c r="A21" s="5">
        <v>19</v>
      </c>
      <c r="B21" s="5">
        <v>19</v>
      </c>
      <c r="C21" s="6" t="s">
        <v>110</v>
      </c>
      <c r="D21" s="7" t="s">
        <v>1366</v>
      </c>
      <c r="E21" s="8" t="str">
        <f>T("明清之際小說作家研究")</f>
        <v>明清之際小說作家研究</v>
      </c>
      <c r="F21" s="7" t="s">
        <v>2623</v>
      </c>
      <c r="G21" s="7" t="str">
        <f>T("中國傳媒")</f>
        <v>中國傳媒</v>
      </c>
      <c r="H21" s="7" t="str">
        <f>T("20090901")</f>
        <v>20090901</v>
      </c>
      <c r="I21" s="7">
        <v>39</v>
      </c>
      <c r="J21" s="7">
        <v>234</v>
      </c>
      <c r="K21" s="9" t="s">
        <v>1317</v>
      </c>
    </row>
    <row r="22" spans="1:11" x14ac:dyDescent="0.25">
      <c r="A22" s="19" t="s">
        <v>1315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</row>
    <row r="23" spans="1:11" x14ac:dyDescent="0.25">
      <c r="A23" s="5">
        <v>20</v>
      </c>
      <c r="B23" s="5">
        <v>1</v>
      </c>
      <c r="C23" s="10" t="s">
        <v>1060</v>
      </c>
      <c r="D23" s="7" t="s">
        <v>1367</v>
      </c>
      <c r="E23" s="8" t="str">
        <f>T("大明宮唐詩輯注")</f>
        <v>大明宮唐詩輯注</v>
      </c>
      <c r="F23" s="7" t="s">
        <v>2624</v>
      </c>
      <c r="G23" s="7" t="str">
        <f>T("人民文學")</f>
        <v>人民文學</v>
      </c>
      <c r="H23" s="7" t="str">
        <f>T("20100301")</f>
        <v>20100301</v>
      </c>
      <c r="I23" s="7">
        <v>49.8</v>
      </c>
      <c r="J23" s="7">
        <v>299</v>
      </c>
      <c r="K23" s="9" t="s">
        <v>1318</v>
      </c>
    </row>
    <row r="24" spans="1:11" ht="28.5" x14ac:dyDescent="0.25">
      <c r="A24" s="5">
        <v>21</v>
      </c>
      <c r="B24" s="5">
        <v>2</v>
      </c>
      <c r="C24" s="10" t="s">
        <v>986</v>
      </c>
      <c r="D24" s="7" t="s">
        <v>1368</v>
      </c>
      <c r="E24" s="8" t="s">
        <v>1319</v>
      </c>
      <c r="F24" s="7" t="s">
        <v>2625</v>
      </c>
      <c r="G24" s="7" t="str">
        <f>T("人民文學")</f>
        <v>人民文學</v>
      </c>
      <c r="H24" s="7" t="str">
        <f>T("20110601")</f>
        <v>20110601</v>
      </c>
      <c r="I24" s="7">
        <v>39</v>
      </c>
      <c r="J24" s="7">
        <v>234</v>
      </c>
      <c r="K24" s="9" t="s">
        <v>1318</v>
      </c>
    </row>
    <row r="25" spans="1:11" x14ac:dyDescent="0.25">
      <c r="A25" s="5">
        <v>22</v>
      </c>
      <c r="B25" s="5">
        <v>3</v>
      </c>
      <c r="C25" s="10" t="s">
        <v>597</v>
      </c>
      <c r="D25" s="7" t="s">
        <v>1369</v>
      </c>
      <c r="E25" s="8" t="str">
        <f>T("醉裏挑燈看花-中國詩歌-第4卷")</f>
        <v>醉裏挑燈看花-中國詩歌-第4卷</v>
      </c>
      <c r="F25" s="7" t="s">
        <v>2626</v>
      </c>
      <c r="G25" s="7" t="str">
        <f>T("人民文學")</f>
        <v>人民文學</v>
      </c>
      <c r="H25" s="7" t="str">
        <f>T("20100401")</f>
        <v>20100401</v>
      </c>
      <c r="I25" s="7">
        <v>12</v>
      </c>
      <c r="J25" s="7">
        <v>72</v>
      </c>
      <c r="K25" s="9" t="s">
        <v>1318</v>
      </c>
    </row>
    <row r="26" spans="1:11" x14ac:dyDescent="0.25">
      <c r="A26" s="5">
        <v>23</v>
      </c>
      <c r="B26" s="5">
        <v>4</v>
      </c>
      <c r="C26" s="10" t="s">
        <v>786</v>
      </c>
      <c r="D26" s="7" t="s">
        <v>1370</v>
      </c>
      <c r="E26" s="8" t="str">
        <f>T("呂氏春秋詞類研究")</f>
        <v>呂氏春秋詞類研究</v>
      </c>
      <c r="F26" s="7" t="s">
        <v>2627</v>
      </c>
      <c r="G26" s="7" t="str">
        <f>T("商務印書")</f>
        <v>商務印書</v>
      </c>
      <c r="H26" s="7" t="str">
        <f>T("20080101")</f>
        <v>20080101</v>
      </c>
      <c r="I26" s="7">
        <v>26</v>
      </c>
      <c r="J26" s="7">
        <v>156</v>
      </c>
      <c r="K26" s="9" t="s">
        <v>262</v>
      </c>
    </row>
    <row r="27" spans="1:11" x14ac:dyDescent="0.25">
      <c r="A27" s="5">
        <v>24</v>
      </c>
      <c r="B27" s="5">
        <v>5</v>
      </c>
      <c r="C27" s="10" t="s">
        <v>1051</v>
      </c>
      <c r="D27" s="7" t="s">
        <v>1371</v>
      </c>
      <c r="E27" s="8" t="str">
        <f>T("全唐詩作者索引(簡體橫排本)")</f>
        <v>全唐詩作者索引(簡體橫排本)</v>
      </c>
      <c r="F27" s="7" t="s">
        <v>2628</v>
      </c>
      <c r="G27" s="7" t="str">
        <f>T("中華書局")</f>
        <v>中華書局</v>
      </c>
      <c r="H27" s="7" t="str">
        <f>T("20001201")</f>
        <v>20001201</v>
      </c>
      <c r="I27" s="7">
        <v>8</v>
      </c>
      <c r="J27" s="7">
        <v>48</v>
      </c>
      <c r="K27" s="9" t="s">
        <v>1318</v>
      </c>
    </row>
    <row r="28" spans="1:11" x14ac:dyDescent="0.25">
      <c r="A28" s="5">
        <v>25</v>
      </c>
      <c r="B28" s="5">
        <v>6</v>
      </c>
      <c r="C28" s="10" t="s">
        <v>974</v>
      </c>
      <c r="D28" s="7" t="s">
        <v>1372</v>
      </c>
      <c r="E28" s="8" t="str">
        <f>T("清詩話考")</f>
        <v>清詩話考</v>
      </c>
      <c r="F28" s="7" t="s">
        <v>2629</v>
      </c>
      <c r="G28" s="7" t="str">
        <f>T("中華書局")</f>
        <v>中華書局</v>
      </c>
      <c r="H28" s="7" t="str">
        <f>T("20050101")</f>
        <v>20050101</v>
      </c>
      <c r="I28" s="7">
        <v>54</v>
      </c>
      <c r="J28" s="7">
        <v>324</v>
      </c>
      <c r="K28" s="9" t="s">
        <v>1318</v>
      </c>
    </row>
    <row r="29" spans="1:11" x14ac:dyDescent="0.25">
      <c r="A29" s="5">
        <v>26</v>
      </c>
      <c r="B29" s="5">
        <v>7</v>
      </c>
      <c r="C29" s="10" t="s">
        <v>744</v>
      </c>
      <c r="D29" s="7" t="s">
        <v>1373</v>
      </c>
      <c r="E29" s="8" t="str">
        <f>T("金元詩文與文獻研究")</f>
        <v>金元詩文與文獻研究</v>
      </c>
      <c r="F29" s="7" t="s">
        <v>2630</v>
      </c>
      <c r="G29" s="7" t="str">
        <f>T("中華書局")</f>
        <v>中華書局</v>
      </c>
      <c r="H29" s="7" t="str">
        <f>T("20081101")</f>
        <v>20081101</v>
      </c>
      <c r="I29" s="7">
        <v>42</v>
      </c>
      <c r="J29" s="7">
        <v>252</v>
      </c>
      <c r="K29" s="9" t="s">
        <v>1318</v>
      </c>
    </row>
    <row r="30" spans="1:11" x14ac:dyDescent="0.25">
      <c r="A30" s="5">
        <v>27</v>
      </c>
      <c r="B30" s="5">
        <v>8</v>
      </c>
      <c r="C30" s="10" t="s">
        <v>746</v>
      </c>
      <c r="D30" s="7" t="s">
        <v>1374</v>
      </c>
      <c r="E30" s="8" t="str">
        <f>T("宋詞體演變史")</f>
        <v>宋詞體演變史</v>
      </c>
      <c r="F30" s="7" t="s">
        <v>2631</v>
      </c>
      <c r="G30" s="7" t="str">
        <f>T("中華書局")</f>
        <v>中華書局</v>
      </c>
      <c r="H30" s="7" t="str">
        <f>T("20081201")</f>
        <v>20081201</v>
      </c>
      <c r="I30" s="7">
        <v>49</v>
      </c>
      <c r="J30" s="7">
        <v>294</v>
      </c>
      <c r="K30" s="9" t="s">
        <v>262</v>
      </c>
    </row>
    <row r="31" spans="1:11" x14ac:dyDescent="0.25">
      <c r="A31" s="5">
        <v>28</v>
      </c>
      <c r="B31" s="5">
        <v>9</v>
      </c>
      <c r="C31" s="10" t="s">
        <v>749</v>
      </c>
      <c r="D31" s="7" t="s">
        <v>1375</v>
      </c>
      <c r="E31" s="8" t="str">
        <f>T("中國詩歌研究. 第五輯")</f>
        <v>中國詩歌研究. 第五輯</v>
      </c>
      <c r="F31" s="7" t="s">
        <v>2632</v>
      </c>
      <c r="G31" s="7" t="str">
        <f>T("中華書局")</f>
        <v>中華書局</v>
      </c>
      <c r="H31" s="7" t="str">
        <f>T("20081201")</f>
        <v>20081201</v>
      </c>
      <c r="I31" s="7">
        <v>40</v>
      </c>
      <c r="J31" s="7">
        <v>240</v>
      </c>
      <c r="K31" s="9" t="s">
        <v>1318</v>
      </c>
    </row>
    <row r="32" spans="1:11" x14ac:dyDescent="0.25">
      <c r="A32" s="5">
        <v>29</v>
      </c>
      <c r="B32" s="5">
        <v>10</v>
      </c>
      <c r="C32" s="10" t="s">
        <v>983</v>
      </c>
      <c r="D32" s="7" t="s">
        <v>1376</v>
      </c>
      <c r="E32" s="8" t="str">
        <f>T("晚楓文集")</f>
        <v>晚楓文集</v>
      </c>
      <c r="F32" s="7" t="s">
        <v>2633</v>
      </c>
      <c r="G32" s="7" t="str">
        <f>T("中國戲劇")</f>
        <v>中國戲劇</v>
      </c>
      <c r="H32" s="7" t="str">
        <f>T("20070101")</f>
        <v>20070101</v>
      </c>
      <c r="I32" s="7">
        <v>14</v>
      </c>
      <c r="J32" s="7">
        <v>84</v>
      </c>
      <c r="K32" s="9" t="s">
        <v>262</v>
      </c>
    </row>
    <row r="33" spans="1:11" x14ac:dyDescent="0.25">
      <c r="A33" s="5">
        <v>30</v>
      </c>
      <c r="B33" s="5">
        <v>11</v>
      </c>
      <c r="C33" s="10" t="s">
        <v>388</v>
      </c>
      <c r="D33" s="7" t="s">
        <v>1377</v>
      </c>
      <c r="E33" s="8" t="str">
        <f>T("梅花與宮闈佳麗")</f>
        <v>梅花與宮闈佳麗</v>
      </c>
      <c r="F33" s="7" t="s">
        <v>2634</v>
      </c>
      <c r="G33" s="7" t="str">
        <f>T("北京三聯")</f>
        <v>北京三聯</v>
      </c>
      <c r="H33" s="7" t="str">
        <f>T("20100401")</f>
        <v>20100401</v>
      </c>
      <c r="I33" s="7">
        <v>36</v>
      </c>
      <c r="J33" s="7">
        <v>216</v>
      </c>
      <c r="K33" s="9" t="s">
        <v>1318</v>
      </c>
    </row>
    <row r="34" spans="1:11" ht="28.5" x14ac:dyDescent="0.25">
      <c r="A34" s="5">
        <v>31</v>
      </c>
      <c r="B34" s="5">
        <v>12</v>
      </c>
      <c r="C34" s="10" t="s">
        <v>282</v>
      </c>
      <c r="D34" s="7" t="s">
        <v>1378</v>
      </c>
      <c r="E34" s="8" t="str">
        <f>T("學習古代詩歌.繼承文化經典-博古知識畫庫.青少年必讀")</f>
        <v>學習古代詩歌.繼承文化經典-博古知識畫庫.青少年必讀</v>
      </c>
      <c r="F34" s="7" t="s">
        <v>2635</v>
      </c>
      <c r="G34" s="7" t="str">
        <f>T("科學普及")</f>
        <v>科學普及</v>
      </c>
      <c r="H34" s="7" t="str">
        <f>T("20100101")</f>
        <v>20100101</v>
      </c>
      <c r="I34" s="7">
        <v>19.8</v>
      </c>
      <c r="J34" s="7">
        <v>119</v>
      </c>
      <c r="K34" s="9" t="s">
        <v>1318</v>
      </c>
    </row>
    <row r="35" spans="1:11" x14ac:dyDescent="0.25">
      <c r="A35" s="5">
        <v>32</v>
      </c>
      <c r="B35" s="5">
        <v>13</v>
      </c>
      <c r="C35" s="10" t="s">
        <v>331</v>
      </c>
      <c r="D35" s="7" t="s">
        <v>1379</v>
      </c>
      <c r="E35" s="8" t="str">
        <f>T("魏晉南北朝代詞研究")</f>
        <v>魏晉南北朝代詞研究</v>
      </c>
      <c r="F35" s="7" t="s">
        <v>2636</v>
      </c>
      <c r="G35" s="7" t="str">
        <f>T("世紀文景")</f>
        <v>世紀文景</v>
      </c>
      <c r="H35" s="7" t="str">
        <f>T("20081201")</f>
        <v>20081201</v>
      </c>
      <c r="I35" s="7">
        <v>27</v>
      </c>
      <c r="J35" s="7">
        <v>162</v>
      </c>
      <c r="K35" s="9" t="s">
        <v>262</v>
      </c>
    </row>
    <row r="36" spans="1:11" x14ac:dyDescent="0.25">
      <c r="A36" s="5">
        <v>33</v>
      </c>
      <c r="B36" s="5">
        <v>14</v>
      </c>
      <c r="C36" s="10" t="s">
        <v>332</v>
      </c>
      <c r="D36" s="7" t="s">
        <v>1380</v>
      </c>
      <c r="E36" s="8" t="str">
        <f>T("近代上海文人詞曲研究")</f>
        <v>近代上海文人詞曲研究</v>
      </c>
      <c r="F36" s="7" t="s">
        <v>2637</v>
      </c>
      <c r="G36" s="7" t="str">
        <f>T("世紀文景")</f>
        <v>世紀文景</v>
      </c>
      <c r="H36" s="7" t="str">
        <f>T("20090101")</f>
        <v>20090101</v>
      </c>
      <c r="I36" s="7">
        <v>34</v>
      </c>
      <c r="J36" s="7">
        <v>204</v>
      </c>
      <c r="K36" s="9" t="s">
        <v>1318</v>
      </c>
    </row>
    <row r="37" spans="1:11" x14ac:dyDescent="0.25">
      <c r="A37" s="5">
        <v>34</v>
      </c>
      <c r="B37" s="5">
        <v>15</v>
      </c>
      <c r="C37" s="10" t="s">
        <v>975</v>
      </c>
      <c r="D37" s="7" t="s">
        <v>1381</v>
      </c>
      <c r="E37" s="8" t="str">
        <f>T("沉抑曲家:張可久傳")</f>
        <v>沉抑曲家:張可久傳</v>
      </c>
      <c r="F37" s="7" t="s">
        <v>2638</v>
      </c>
      <c r="G37" s="7" t="str">
        <f>T("浙江人民")</f>
        <v>浙江人民</v>
      </c>
      <c r="H37" s="7" t="str">
        <f>T("20070801")</f>
        <v>20070801</v>
      </c>
      <c r="I37" s="7">
        <v>20</v>
      </c>
      <c r="J37" s="7">
        <v>120</v>
      </c>
      <c r="K37" s="9" t="s">
        <v>1318</v>
      </c>
    </row>
    <row r="38" spans="1:11" x14ac:dyDescent="0.25">
      <c r="A38" s="5">
        <v>35</v>
      </c>
      <c r="B38" s="5">
        <v>16</v>
      </c>
      <c r="C38" s="10" t="s">
        <v>770</v>
      </c>
      <c r="D38" s="7" t="s">
        <v>1382</v>
      </c>
      <c r="E38" s="8" t="str">
        <f>T("圖說中國戲劇藝術")</f>
        <v>圖說中國戲劇藝術</v>
      </c>
      <c r="F38" s="7" t="s">
        <v>2639</v>
      </c>
      <c r="G38" s="7" t="str">
        <f>T("江蘇人民")</f>
        <v>江蘇人民</v>
      </c>
      <c r="H38" s="7" t="str">
        <f>T("20090701")</f>
        <v>20090701</v>
      </c>
      <c r="I38" s="7">
        <v>80</v>
      </c>
      <c r="J38" s="7">
        <v>480</v>
      </c>
      <c r="K38" s="9" t="s">
        <v>1318</v>
      </c>
    </row>
    <row r="39" spans="1:11" x14ac:dyDescent="0.25">
      <c r="A39" s="5">
        <v>36</v>
      </c>
      <c r="B39" s="5">
        <v>17</v>
      </c>
      <c r="C39" s="10" t="s">
        <v>590</v>
      </c>
      <c r="D39" s="7" t="s">
        <v>1383</v>
      </c>
      <c r="E39" s="8" t="str">
        <f>T("飛越唐詩")</f>
        <v>飛越唐詩</v>
      </c>
      <c r="F39" s="7" t="s">
        <v>2640</v>
      </c>
      <c r="G39" s="7" t="str">
        <f>T("廣東人民")</f>
        <v>廣東人民</v>
      </c>
      <c r="H39" s="7" t="str">
        <f>T("20091101")</f>
        <v>20091101</v>
      </c>
      <c r="I39" s="7">
        <v>38</v>
      </c>
      <c r="J39" s="7">
        <v>228</v>
      </c>
      <c r="K39" s="9" t="s">
        <v>1318</v>
      </c>
    </row>
    <row r="40" spans="1:11" x14ac:dyDescent="0.25">
      <c r="A40" s="5">
        <v>37</v>
      </c>
      <c r="B40" s="5">
        <v>18</v>
      </c>
      <c r="C40" s="10" t="s">
        <v>380</v>
      </c>
      <c r="D40" s="7" t="s">
        <v>1384</v>
      </c>
      <c r="E40" s="8" t="str">
        <f>T("四川非物質文化遺產:川劇(珍藏本)")</f>
        <v>四川非物質文化遺產:川劇(珍藏本)</v>
      </c>
      <c r="F40" s="7" t="s">
        <v>2641</v>
      </c>
      <c r="G40" s="7" t="str">
        <f>T("四川人民")</f>
        <v>四川人民</v>
      </c>
      <c r="H40" s="7" t="str">
        <f>T("20070501")</f>
        <v>20070501</v>
      </c>
      <c r="I40" s="7">
        <v>98</v>
      </c>
      <c r="J40" s="7">
        <v>588</v>
      </c>
      <c r="K40" s="9" t="s">
        <v>1318</v>
      </c>
    </row>
    <row r="41" spans="1:11" x14ac:dyDescent="0.25">
      <c r="A41" s="5">
        <v>38</v>
      </c>
      <c r="B41" s="5">
        <v>19</v>
      </c>
      <c r="C41" s="10" t="s">
        <v>290</v>
      </c>
      <c r="D41" s="7" t="s">
        <v>1385</v>
      </c>
      <c r="E41" s="8" t="str">
        <f>T("楚辭是一襲疾風")</f>
        <v>楚辭是一襲疾風</v>
      </c>
      <c r="F41" s="7" t="s">
        <v>2642</v>
      </c>
      <c r="G41" s="7" t="str">
        <f>T("陝西人民")</f>
        <v>陝西人民</v>
      </c>
      <c r="H41" s="7" t="str">
        <f>T("20100401")</f>
        <v>20100401</v>
      </c>
      <c r="I41" s="7">
        <v>23.8</v>
      </c>
      <c r="J41" s="7">
        <v>143</v>
      </c>
      <c r="K41" s="9" t="s">
        <v>1318</v>
      </c>
    </row>
    <row r="42" spans="1:11" s="22" customFormat="1" x14ac:dyDescent="0.25">
      <c r="A42" s="5">
        <v>39</v>
      </c>
      <c r="B42" s="5">
        <v>20</v>
      </c>
      <c r="C42" s="10" t="s">
        <v>399</v>
      </c>
      <c r="D42" s="7" t="s">
        <v>1386</v>
      </c>
      <c r="E42" s="8" t="str">
        <f>T("絲綢之路研究叢書：絲綢之路戲曲研究")</f>
        <v>絲綢之路研究叢書：絲綢之路戲曲研究</v>
      </c>
      <c r="F42" s="7" t="s">
        <v>2643</v>
      </c>
      <c r="G42" s="7" t="str">
        <f>T("新疆人民")</f>
        <v>新疆人民</v>
      </c>
      <c r="H42" s="7" t="str">
        <f>T("20101201")</f>
        <v>20101201</v>
      </c>
      <c r="I42" s="7">
        <v>57.3</v>
      </c>
      <c r="J42" s="7">
        <v>344</v>
      </c>
      <c r="K42" s="9" t="s">
        <v>1318</v>
      </c>
    </row>
    <row r="43" spans="1:11" x14ac:dyDescent="0.25">
      <c r="A43" s="5">
        <v>40</v>
      </c>
      <c r="B43" s="5">
        <v>21</v>
      </c>
      <c r="C43" s="10" t="s">
        <v>1047</v>
      </c>
      <c r="D43" s="7" t="s">
        <v>1387</v>
      </c>
      <c r="E43" s="8" t="str">
        <f>T("詩國文苑")</f>
        <v>詩國文苑</v>
      </c>
      <c r="F43" s="7" t="s">
        <v>2644</v>
      </c>
      <c r="G43" s="7" t="str">
        <f>T("人民大學")</f>
        <v>人民大學</v>
      </c>
      <c r="H43" s="7" t="str">
        <f>T("20090301")</f>
        <v>20090301</v>
      </c>
      <c r="I43" s="7">
        <v>49</v>
      </c>
      <c r="J43" s="7">
        <v>294</v>
      </c>
      <c r="K43" s="9" t="s">
        <v>1318</v>
      </c>
    </row>
    <row r="44" spans="1:11" s="22" customFormat="1" ht="28.5" x14ac:dyDescent="0.25">
      <c r="A44" s="5">
        <v>41</v>
      </c>
      <c r="B44" s="5">
        <v>22</v>
      </c>
      <c r="C44" s="10" t="s">
        <v>735</v>
      </c>
      <c r="D44" s="7" t="s">
        <v>1388</v>
      </c>
      <c r="E44" s="8" t="str">
        <f>T("謝無量文集：第七卷‧詞學指南.駢文指南.詩經研究.楚辭新論")</f>
        <v>謝無量文集：第七卷‧詞學指南.駢文指南.詩經研究.楚辭新論</v>
      </c>
      <c r="F44" s="7" t="s">
        <v>2645</v>
      </c>
      <c r="G44" s="7" t="str">
        <f>T("人民")</f>
        <v>人民</v>
      </c>
      <c r="H44" s="7" t="str">
        <f>T("20110501")</f>
        <v>20110501</v>
      </c>
      <c r="I44" s="7">
        <v>88</v>
      </c>
      <c r="J44" s="7">
        <v>528</v>
      </c>
      <c r="K44" s="9" t="s">
        <v>262</v>
      </c>
    </row>
    <row r="45" spans="1:11" x14ac:dyDescent="0.25">
      <c r="A45" s="5">
        <v>42</v>
      </c>
      <c r="B45" s="5">
        <v>23</v>
      </c>
      <c r="C45" s="10" t="s">
        <v>737</v>
      </c>
      <c r="D45" s="7" t="s">
        <v>1389</v>
      </c>
      <c r="E45" s="8" t="str">
        <f>T("全宋詩（8）")</f>
        <v>全宋詩（8）</v>
      </c>
      <c r="F45" s="7" t="s">
        <v>2616</v>
      </c>
      <c r="G45" s="7" t="str">
        <f t="shared" ref="G45:G52" si="0">T("北京大學")</f>
        <v>北京大學</v>
      </c>
      <c r="H45" s="7" t="str">
        <f>T("19920601")</f>
        <v>19920601</v>
      </c>
      <c r="I45" s="7">
        <v>40</v>
      </c>
      <c r="J45" s="7">
        <v>240</v>
      </c>
      <c r="K45" s="9" t="s">
        <v>1318</v>
      </c>
    </row>
    <row r="46" spans="1:11" x14ac:dyDescent="0.25">
      <c r="A46" s="5">
        <v>43</v>
      </c>
      <c r="B46" s="5">
        <v>24</v>
      </c>
      <c r="C46" s="10" t="s">
        <v>738</v>
      </c>
      <c r="D46" s="7" t="s">
        <v>1390</v>
      </c>
      <c r="E46" s="8" t="str">
        <f>T("全宋詩（16）")</f>
        <v>全宋詩（16）</v>
      </c>
      <c r="F46" s="7" t="s">
        <v>2646</v>
      </c>
      <c r="G46" s="7" t="str">
        <f t="shared" si="0"/>
        <v>北京大學</v>
      </c>
      <c r="H46" s="7" t="str">
        <f>T("20050301")</f>
        <v>20050301</v>
      </c>
      <c r="I46" s="7">
        <v>40</v>
      </c>
      <c r="J46" s="7">
        <v>240</v>
      </c>
      <c r="K46" s="9" t="s">
        <v>1318</v>
      </c>
    </row>
    <row r="47" spans="1:11" x14ac:dyDescent="0.25">
      <c r="A47" s="5">
        <v>44</v>
      </c>
      <c r="B47" s="5">
        <v>25</v>
      </c>
      <c r="C47" s="10" t="s">
        <v>739</v>
      </c>
      <c r="D47" s="7" t="s">
        <v>1391</v>
      </c>
      <c r="E47" s="8" t="str">
        <f>T("全宋詩（22）")</f>
        <v>全宋詩（22）</v>
      </c>
      <c r="F47" s="7" t="s">
        <v>2647</v>
      </c>
      <c r="G47" s="7" t="str">
        <f t="shared" si="0"/>
        <v>北京大學</v>
      </c>
      <c r="H47" s="7" t="str">
        <f>T("19950701")</f>
        <v>19950701</v>
      </c>
      <c r="I47" s="7">
        <v>40</v>
      </c>
      <c r="J47" s="7">
        <v>240</v>
      </c>
      <c r="K47" s="9" t="s">
        <v>1318</v>
      </c>
    </row>
    <row r="48" spans="1:11" x14ac:dyDescent="0.25">
      <c r="A48" s="5">
        <v>45</v>
      </c>
      <c r="B48" s="5">
        <v>26</v>
      </c>
      <c r="C48" s="10" t="s">
        <v>740</v>
      </c>
      <c r="D48" s="7" t="s">
        <v>1392</v>
      </c>
      <c r="E48" s="8" t="str">
        <f>T("全宋詩（23）")</f>
        <v>全宋詩（23）</v>
      </c>
      <c r="F48" s="7" t="s">
        <v>2616</v>
      </c>
      <c r="G48" s="7" t="str">
        <f t="shared" si="0"/>
        <v>北京大學</v>
      </c>
      <c r="H48" s="7" t="str">
        <f>T("19950701")</f>
        <v>19950701</v>
      </c>
      <c r="I48" s="7">
        <v>40</v>
      </c>
      <c r="J48" s="7">
        <v>240</v>
      </c>
      <c r="K48" s="9" t="s">
        <v>1318</v>
      </c>
    </row>
    <row r="49" spans="1:11" x14ac:dyDescent="0.25">
      <c r="A49" s="5">
        <v>46</v>
      </c>
      <c r="B49" s="5">
        <v>27</v>
      </c>
      <c r="C49" s="10" t="s">
        <v>741</v>
      </c>
      <c r="D49" s="7" t="s">
        <v>1393</v>
      </c>
      <c r="E49" s="8" t="str">
        <f>T("全宋詩（24）")</f>
        <v>全宋詩（24）</v>
      </c>
      <c r="F49" s="7" t="s">
        <v>2646</v>
      </c>
      <c r="G49" s="7" t="str">
        <f t="shared" si="0"/>
        <v>北京大學</v>
      </c>
      <c r="H49" s="7" t="str">
        <f>T("19951101")</f>
        <v>19951101</v>
      </c>
      <c r="I49" s="7">
        <v>40</v>
      </c>
      <c r="J49" s="7">
        <v>240</v>
      </c>
      <c r="K49" s="9" t="s">
        <v>1318</v>
      </c>
    </row>
    <row r="50" spans="1:11" x14ac:dyDescent="0.25">
      <c r="A50" s="5">
        <v>47</v>
      </c>
      <c r="B50" s="5">
        <v>28</v>
      </c>
      <c r="C50" s="10" t="s">
        <v>742</v>
      </c>
      <c r="D50" s="7" t="s">
        <v>1394</v>
      </c>
      <c r="E50" s="8" t="str">
        <f>T("全宋詩（25）")</f>
        <v>全宋詩（25）</v>
      </c>
      <c r="F50" s="7" t="s">
        <v>2616</v>
      </c>
      <c r="G50" s="7" t="str">
        <f t="shared" si="0"/>
        <v>北京大學</v>
      </c>
      <c r="H50" s="7" t="str">
        <f>T("19951101")</f>
        <v>19951101</v>
      </c>
      <c r="I50" s="7">
        <v>40</v>
      </c>
      <c r="J50" s="7">
        <v>240</v>
      </c>
      <c r="K50" s="9" t="s">
        <v>1318</v>
      </c>
    </row>
    <row r="51" spans="1:11" x14ac:dyDescent="0.25">
      <c r="A51" s="5">
        <v>48</v>
      </c>
      <c r="B51" s="5">
        <v>29</v>
      </c>
      <c r="C51" s="10" t="s">
        <v>440</v>
      </c>
      <c r="D51" s="7" t="s">
        <v>1395</v>
      </c>
      <c r="E51" s="8" t="str">
        <f>T("賦學講演錄")</f>
        <v>賦學講演錄</v>
      </c>
      <c r="F51" s="7" t="s">
        <v>2648</v>
      </c>
      <c r="G51" s="7" t="str">
        <f t="shared" si="0"/>
        <v>北京大學</v>
      </c>
      <c r="H51" s="7" t="str">
        <f>T("20090401")</f>
        <v>20090401</v>
      </c>
      <c r="I51" s="7">
        <v>30</v>
      </c>
      <c r="J51" s="7">
        <v>180</v>
      </c>
      <c r="K51" s="9" t="s">
        <v>1318</v>
      </c>
    </row>
    <row r="52" spans="1:11" x14ac:dyDescent="0.25">
      <c r="A52" s="5">
        <v>49</v>
      </c>
      <c r="B52" s="5">
        <v>30</v>
      </c>
      <c r="C52" s="10" t="s">
        <v>448</v>
      </c>
      <c r="D52" s="7" t="s">
        <v>1396</v>
      </c>
      <c r="E52" s="8" t="str">
        <f>T("雜曲歌辭與雜歌謠辭研究")</f>
        <v>雜曲歌辭與雜歌謠辭研究</v>
      </c>
      <c r="F52" s="7" t="s">
        <v>2649</v>
      </c>
      <c r="G52" s="7" t="str">
        <f t="shared" si="0"/>
        <v>北京大學</v>
      </c>
      <c r="H52" s="7" t="str">
        <f>T("20090801")</f>
        <v>20090801</v>
      </c>
      <c r="I52" s="7">
        <v>48</v>
      </c>
      <c r="J52" s="7">
        <v>288</v>
      </c>
      <c r="K52" s="9" t="s">
        <v>1318</v>
      </c>
    </row>
    <row r="53" spans="1:11" ht="28.5" x14ac:dyDescent="0.25">
      <c r="A53" s="5">
        <v>50</v>
      </c>
      <c r="B53" s="5">
        <v>31</v>
      </c>
      <c r="C53" s="10" t="s">
        <v>476</v>
      </c>
      <c r="D53" s="7" t="s">
        <v>1397</v>
      </c>
      <c r="E53" s="8" t="str">
        <f>T("嘉靖前期詩壇研究(1522-1550)(武漢大學學術叢書")</f>
        <v>嘉靖前期詩壇研究(1522-1550)(武漢大學學術叢書</v>
      </c>
      <c r="F53" s="7" t="s">
        <v>2650</v>
      </c>
      <c r="G53" s="7" t="str">
        <f>T("武漢大學")</f>
        <v>武漢大學</v>
      </c>
      <c r="H53" s="7" t="str">
        <f>T("20090601")</f>
        <v>20090601</v>
      </c>
      <c r="I53" s="7">
        <v>68</v>
      </c>
      <c r="J53" s="7">
        <v>408</v>
      </c>
      <c r="K53" s="9" t="s">
        <v>262</v>
      </c>
    </row>
    <row r="54" spans="1:11" x14ac:dyDescent="0.25">
      <c r="A54" s="5">
        <v>51</v>
      </c>
      <c r="B54" s="5">
        <v>32</v>
      </c>
      <c r="C54" s="10" t="s">
        <v>127</v>
      </c>
      <c r="D54" s="7" t="s">
        <v>1398</v>
      </c>
      <c r="E54" s="8" t="str">
        <f>T("唐五代詩考論")</f>
        <v>唐五代詩考論</v>
      </c>
      <c r="F54" s="7" t="s">
        <v>2651</v>
      </c>
      <c r="G54" s="7" t="str">
        <f>T("浙江大學")</f>
        <v>浙江大學</v>
      </c>
      <c r="H54" s="7" t="str">
        <f>T("20060601")</f>
        <v>20060601</v>
      </c>
      <c r="I54" s="7">
        <v>50</v>
      </c>
      <c r="J54" s="7">
        <v>300</v>
      </c>
      <c r="K54" s="9" t="s">
        <v>1318</v>
      </c>
    </row>
    <row r="55" spans="1:11" x14ac:dyDescent="0.25">
      <c r="A55" s="5">
        <v>52</v>
      </c>
      <c r="B55" s="5">
        <v>33</v>
      </c>
      <c r="C55" s="10" t="s">
        <v>395</v>
      </c>
      <c r="D55" s="7" t="s">
        <v>1399</v>
      </c>
      <c r="E55" s="8" t="str">
        <f>T("小說與詩歌的藝術智慧")</f>
        <v>小說與詩歌的藝術智慧</v>
      </c>
      <c r="F55" s="7" t="s">
        <v>2652</v>
      </c>
      <c r="G55" s="7" t="str">
        <f>T("復旦大學")</f>
        <v>復旦大學</v>
      </c>
      <c r="H55" s="7" t="str">
        <f>T("20090501")</f>
        <v>20090501</v>
      </c>
      <c r="I55" s="7">
        <v>22</v>
      </c>
      <c r="J55" s="7">
        <v>132</v>
      </c>
      <c r="K55" s="9" t="s">
        <v>1318</v>
      </c>
    </row>
    <row r="56" spans="1:11" x14ac:dyDescent="0.25">
      <c r="A56" s="5">
        <v>53</v>
      </c>
      <c r="B56" s="5">
        <v>34</v>
      </c>
      <c r="C56" s="10" t="s">
        <v>300</v>
      </c>
      <c r="D56" s="7" t="s">
        <v>1400</v>
      </c>
      <c r="E56" s="8" t="str">
        <f>T("詞文獻研究")</f>
        <v>詞文獻研究</v>
      </c>
      <c r="F56" s="7" t="s">
        <v>2653</v>
      </c>
      <c r="G56" s="7" t="str">
        <f>T("南開大學")</f>
        <v>南開大學</v>
      </c>
      <c r="H56" s="7" t="str">
        <f>T("20100401")</f>
        <v>20100401</v>
      </c>
      <c r="I56" s="7">
        <v>40</v>
      </c>
      <c r="J56" s="7">
        <v>240</v>
      </c>
      <c r="K56" s="9" t="s">
        <v>262</v>
      </c>
    </row>
    <row r="57" spans="1:11" x14ac:dyDescent="0.25">
      <c r="A57" s="5">
        <v>54</v>
      </c>
      <c r="B57" s="5">
        <v>35</v>
      </c>
      <c r="C57" s="10" t="s">
        <v>550</v>
      </c>
      <c r="D57" s="7" t="s">
        <v>1401</v>
      </c>
      <c r="E57" s="8" t="str">
        <f>T("金戈鐵馬詩裏乾坤：漢魏晉南北軍事戰")</f>
        <v>金戈鐵馬詩裏乾坤：漢魏晉南北軍事戰</v>
      </c>
      <c r="F57" s="7" t="s">
        <v>2654</v>
      </c>
      <c r="G57" s="7" t="str">
        <f>T("中國社科")</f>
        <v>中國社科</v>
      </c>
      <c r="H57" s="7" t="str">
        <f>T("20100901")</f>
        <v>20100901</v>
      </c>
      <c r="I57" s="7">
        <v>38</v>
      </c>
      <c r="J57" s="7">
        <v>228</v>
      </c>
      <c r="K57" s="9" t="s">
        <v>262</v>
      </c>
    </row>
    <row r="58" spans="1:11" x14ac:dyDescent="0.25">
      <c r="A58" s="5">
        <v>55</v>
      </c>
      <c r="B58" s="5">
        <v>36</v>
      </c>
      <c r="C58" s="10" t="s">
        <v>251</v>
      </c>
      <c r="D58" s="7" t="s">
        <v>1402</v>
      </c>
      <c r="E58" s="8" t="str">
        <f>T("漢語詩歌文化學")</f>
        <v>漢語詩歌文化學</v>
      </c>
      <c r="F58" s="7" t="s">
        <v>2655</v>
      </c>
      <c r="G58" s="7" t="str">
        <f>T("學苑")</f>
        <v>學苑</v>
      </c>
      <c r="H58" s="7" t="str">
        <f>T("")</f>
        <v/>
      </c>
      <c r="I58" s="7">
        <v>40</v>
      </c>
      <c r="J58" s="7">
        <v>240</v>
      </c>
      <c r="K58" s="9" t="s">
        <v>1318</v>
      </c>
    </row>
    <row r="59" spans="1:11" x14ac:dyDescent="0.25">
      <c r="A59" s="5">
        <v>56</v>
      </c>
      <c r="B59" s="5">
        <v>37</v>
      </c>
      <c r="C59" s="10" t="s">
        <v>101</v>
      </c>
      <c r="D59" s="7" t="s">
        <v>1403</v>
      </c>
      <c r="E59" s="8" t="str">
        <f>T("古典詩詞論稿")</f>
        <v>古典詩詞論稿</v>
      </c>
      <c r="F59" s="7" t="s">
        <v>2656</v>
      </c>
      <c r="G59" s="7" t="str">
        <f>T("學苑")</f>
        <v>學苑</v>
      </c>
      <c r="H59" s="7" t="str">
        <f>T("20090601")</f>
        <v>20090601</v>
      </c>
      <c r="I59" s="7">
        <v>32</v>
      </c>
      <c r="J59" s="7">
        <v>192</v>
      </c>
      <c r="K59" s="9" t="s">
        <v>1318</v>
      </c>
    </row>
    <row r="60" spans="1:11" x14ac:dyDescent="0.25">
      <c r="A60" s="5">
        <v>57</v>
      </c>
      <c r="B60" s="5">
        <v>38</v>
      </c>
      <c r="C60" s="10" t="s">
        <v>118</v>
      </c>
      <c r="D60" s="7" t="s">
        <v>1404</v>
      </c>
      <c r="E60" s="8" t="str">
        <f>T("中國詩學研究.第3輯，遼金詩學研究專輯")</f>
        <v>中國詩學研究.第3輯，遼金詩學研究專輯</v>
      </c>
      <c r="F60" s="7" t="s">
        <v>2657</v>
      </c>
      <c r="G60" s="7" t="str">
        <f t="shared" ref="G60:G68" si="1">T("上海古籍")</f>
        <v>上海古籍</v>
      </c>
      <c r="H60" s="7" t="str">
        <f>T("20041201")</f>
        <v>20041201</v>
      </c>
      <c r="I60" s="7">
        <v>25</v>
      </c>
      <c r="J60" s="7">
        <v>150</v>
      </c>
      <c r="K60" s="9" t="s">
        <v>262</v>
      </c>
    </row>
    <row r="61" spans="1:11" x14ac:dyDescent="0.25">
      <c r="A61" s="5">
        <v>58</v>
      </c>
      <c r="B61" s="5">
        <v>39</v>
      </c>
      <c r="C61" s="10" t="s">
        <v>795</v>
      </c>
      <c r="D61" s="7" t="s">
        <v>1405</v>
      </c>
      <c r="E61" s="8" t="str">
        <f>T("清初清詞選本考論")</f>
        <v>清初清詞選本考論</v>
      </c>
      <c r="F61" s="7" t="s">
        <v>2658</v>
      </c>
      <c r="G61" s="7" t="str">
        <f t="shared" si="1"/>
        <v>上海古籍</v>
      </c>
      <c r="H61" s="7" t="str">
        <f>T("20080501")</f>
        <v>20080501</v>
      </c>
      <c r="I61" s="7">
        <v>39</v>
      </c>
      <c r="J61" s="7">
        <v>234</v>
      </c>
      <c r="K61" s="9" t="s">
        <v>1318</v>
      </c>
    </row>
    <row r="62" spans="1:11" x14ac:dyDescent="0.25">
      <c r="A62" s="5">
        <v>59</v>
      </c>
      <c r="B62" s="5">
        <v>40</v>
      </c>
      <c r="C62" s="10" t="s">
        <v>796</v>
      </c>
      <c r="D62" s="7" t="s">
        <v>1406</v>
      </c>
      <c r="E62" s="8" t="str">
        <f>T("清詞的傳承與開拓")</f>
        <v>清詞的傳承與開拓</v>
      </c>
      <c r="F62" s="7" t="s">
        <v>2659</v>
      </c>
      <c r="G62" s="7" t="str">
        <f t="shared" si="1"/>
        <v>上海古籍</v>
      </c>
      <c r="H62" s="7" t="str">
        <f>T("20080501")</f>
        <v>20080501</v>
      </c>
      <c r="I62" s="7">
        <v>39</v>
      </c>
      <c r="J62" s="7">
        <v>234</v>
      </c>
      <c r="K62" s="9" t="s">
        <v>1318</v>
      </c>
    </row>
    <row r="63" spans="1:11" x14ac:dyDescent="0.25">
      <c r="A63" s="5">
        <v>60</v>
      </c>
      <c r="B63" s="5">
        <v>41</v>
      </c>
      <c r="C63" s="10" t="s">
        <v>798</v>
      </c>
      <c r="D63" s="7" t="s">
        <v>1407</v>
      </c>
      <c r="E63" s="8" t="str">
        <f>T("順康之際廣陵詞壇研究")</f>
        <v>順康之際廣陵詞壇研究</v>
      </c>
      <c r="F63" s="7" t="s">
        <v>2660</v>
      </c>
      <c r="G63" s="7" t="str">
        <f t="shared" si="1"/>
        <v>上海古籍</v>
      </c>
      <c r="H63" s="7" t="str">
        <f>T("20090101")</f>
        <v>20090101</v>
      </c>
      <c r="I63" s="7">
        <v>38</v>
      </c>
      <c r="J63" s="7">
        <v>228</v>
      </c>
      <c r="K63" s="9" t="s">
        <v>262</v>
      </c>
    </row>
    <row r="64" spans="1:11" x14ac:dyDescent="0.25">
      <c r="A64" s="5">
        <v>61</v>
      </c>
      <c r="B64" s="5">
        <v>42</v>
      </c>
      <c r="C64" s="10" t="s">
        <v>799</v>
      </c>
      <c r="D64" s="7" t="s">
        <v>1408</v>
      </c>
      <c r="E64" s="8" t="str">
        <f>T("南宋戲曲史(南宋史研究叢書)")</f>
        <v>南宋戲曲史(南宋史研究叢書)</v>
      </c>
      <c r="F64" s="7" t="s">
        <v>2661</v>
      </c>
      <c r="G64" s="7" t="str">
        <f t="shared" si="1"/>
        <v>上海古籍</v>
      </c>
      <c r="H64" s="7" t="str">
        <f>T("20081201")</f>
        <v>20081201</v>
      </c>
      <c r="I64" s="7">
        <v>72</v>
      </c>
      <c r="J64" s="7">
        <v>432</v>
      </c>
      <c r="K64" s="9" t="s">
        <v>1318</v>
      </c>
    </row>
    <row r="65" spans="1:11" x14ac:dyDescent="0.25">
      <c r="A65" s="5">
        <v>62</v>
      </c>
      <c r="B65" s="5">
        <v>43</v>
      </c>
      <c r="C65" s="10" t="s">
        <v>801</v>
      </c>
      <c r="D65" s="7" t="s">
        <v>1409</v>
      </c>
      <c r="E65" s="8" t="str">
        <f>T("明代詞學之建構")</f>
        <v>明代詞學之建構</v>
      </c>
      <c r="F65" s="7" t="s">
        <v>2662</v>
      </c>
      <c r="G65" s="7" t="str">
        <f t="shared" si="1"/>
        <v>上海古籍</v>
      </c>
      <c r="H65" s="7" t="str">
        <f>T("20090701")</f>
        <v>20090701</v>
      </c>
      <c r="I65" s="7">
        <v>48</v>
      </c>
      <c r="J65" s="7">
        <v>288</v>
      </c>
      <c r="K65" s="9" t="s">
        <v>262</v>
      </c>
    </row>
    <row r="66" spans="1:11" x14ac:dyDescent="0.25">
      <c r="A66" s="5">
        <v>63</v>
      </c>
      <c r="B66" s="5">
        <v>44</v>
      </c>
      <c r="C66" s="10" t="s">
        <v>45</v>
      </c>
      <c r="D66" s="7" t="s">
        <v>1410</v>
      </c>
      <c r="E66" s="8" t="str">
        <f>T("北宋詞風嬗變與文學思潮")</f>
        <v>北宋詞風嬗變與文學思潮</v>
      </c>
      <c r="F66" s="7" t="s">
        <v>2663</v>
      </c>
      <c r="G66" s="7" t="str">
        <f t="shared" si="1"/>
        <v>上海古籍</v>
      </c>
      <c r="H66" s="7" t="str">
        <f>T("20091101")</f>
        <v>20091101</v>
      </c>
      <c r="I66" s="7">
        <v>42</v>
      </c>
      <c r="J66" s="7">
        <v>252</v>
      </c>
      <c r="K66" s="9" t="s">
        <v>262</v>
      </c>
    </row>
    <row r="67" spans="1:11" x14ac:dyDescent="0.25">
      <c r="A67" s="5">
        <v>64</v>
      </c>
      <c r="B67" s="5">
        <v>45</v>
      </c>
      <c r="C67" s="10" t="s">
        <v>802</v>
      </c>
      <c r="D67" s="7" t="s">
        <v>1411</v>
      </c>
      <c r="E67" s="8" t="str">
        <f>T("中國歷代劇論選注")</f>
        <v>中國歷代劇論選注</v>
      </c>
      <c r="F67" s="7" t="s">
        <v>2664</v>
      </c>
      <c r="G67" s="7" t="str">
        <f t="shared" si="1"/>
        <v>上海古籍</v>
      </c>
      <c r="H67" s="7" t="str">
        <f>T("20100601")</f>
        <v>20100601</v>
      </c>
      <c r="I67" s="7">
        <v>58</v>
      </c>
      <c r="J67" s="7">
        <v>348</v>
      </c>
      <c r="K67" s="9" t="s">
        <v>1318</v>
      </c>
    </row>
    <row r="68" spans="1:11" x14ac:dyDescent="0.25">
      <c r="A68" s="5">
        <v>65</v>
      </c>
      <c r="B68" s="5">
        <v>46</v>
      </c>
      <c r="C68" s="10" t="s">
        <v>48</v>
      </c>
      <c r="D68" s="7" t="s">
        <v>1412</v>
      </c>
      <c r="E68" s="8" t="str">
        <f>T("&lt;&lt;清詩別裁集&gt;&gt;研究")</f>
        <v>&lt;&lt;清詩別裁集&gt;&gt;研究</v>
      </c>
      <c r="F68" s="7" t="s">
        <v>2665</v>
      </c>
      <c r="G68" s="7" t="str">
        <f t="shared" si="1"/>
        <v>上海古籍</v>
      </c>
      <c r="H68" s="7" t="str">
        <f>T("20100401")</f>
        <v>20100401</v>
      </c>
      <c r="I68" s="7">
        <v>38</v>
      </c>
      <c r="J68" s="7">
        <v>228</v>
      </c>
      <c r="K68" s="9" t="s">
        <v>1318</v>
      </c>
    </row>
    <row r="69" spans="1:11" x14ac:dyDescent="0.25">
      <c r="A69" s="5">
        <v>66</v>
      </c>
      <c r="B69" s="5">
        <v>47</v>
      </c>
      <c r="C69" s="10" t="s">
        <v>614</v>
      </c>
      <c r="D69" s="7" t="s">
        <v>1413</v>
      </c>
      <c r="E69" s="8" t="str">
        <f>T("清代彈詞研究")</f>
        <v>清代彈詞研究</v>
      </c>
      <c r="F69" s="7" t="s">
        <v>2666</v>
      </c>
      <c r="G69" s="7" t="str">
        <f t="shared" ref="G69:G74" si="2">T("齊魯書社")</f>
        <v>齊魯書社</v>
      </c>
      <c r="H69" s="7" t="str">
        <f>T("20080301")</f>
        <v>20080301</v>
      </c>
      <c r="I69" s="7">
        <v>35</v>
      </c>
      <c r="J69" s="7">
        <v>210</v>
      </c>
      <c r="K69" s="9" t="s">
        <v>1318</v>
      </c>
    </row>
    <row r="70" spans="1:11" x14ac:dyDescent="0.25">
      <c r="A70" s="5">
        <v>67</v>
      </c>
      <c r="B70" s="5">
        <v>48</v>
      </c>
      <c r="C70" s="10" t="s">
        <v>619</v>
      </c>
      <c r="D70" s="7" t="s">
        <v>1414</v>
      </c>
      <c r="E70" s="8" t="str">
        <f>T("《詩經.齊風》研究")</f>
        <v>《詩經.齊風》研究</v>
      </c>
      <c r="F70" s="7" t="s">
        <v>2667</v>
      </c>
      <c r="G70" s="7" t="str">
        <f t="shared" si="2"/>
        <v>齊魯書社</v>
      </c>
      <c r="H70" s="7" t="str">
        <f>T("20081201")</f>
        <v>20081201</v>
      </c>
      <c r="I70" s="7">
        <v>36</v>
      </c>
      <c r="J70" s="7">
        <v>216</v>
      </c>
      <c r="K70" s="9" t="s">
        <v>262</v>
      </c>
    </row>
    <row r="71" spans="1:11" x14ac:dyDescent="0.25">
      <c r="A71" s="5">
        <v>68</v>
      </c>
      <c r="B71" s="5">
        <v>49</v>
      </c>
      <c r="C71" s="10" t="s">
        <v>622</v>
      </c>
      <c r="D71" s="7" t="s">
        <v>1415</v>
      </c>
      <c r="E71" s="8" t="str">
        <f>T("漢語春秋:中國古典人文意象隨筆")</f>
        <v>漢語春秋:中國古典人文意象隨筆</v>
      </c>
      <c r="F71" s="7" t="s">
        <v>2668</v>
      </c>
      <c r="G71" s="7" t="str">
        <f t="shared" si="2"/>
        <v>齊魯書社</v>
      </c>
      <c r="H71" s="7" t="str">
        <f>T("20090501")</f>
        <v>20090501</v>
      </c>
      <c r="I71" s="7">
        <v>26</v>
      </c>
      <c r="J71" s="7">
        <v>156</v>
      </c>
      <c r="K71" s="9" t="s">
        <v>262</v>
      </c>
    </row>
    <row r="72" spans="1:11" x14ac:dyDescent="0.25">
      <c r="A72" s="5">
        <v>69</v>
      </c>
      <c r="B72" s="5">
        <v>50</v>
      </c>
      <c r="C72" s="10" t="s">
        <v>623</v>
      </c>
      <c r="D72" s="7" t="s">
        <v>1416</v>
      </c>
      <c r="E72" s="8" t="str">
        <f>T("齊魯樂語")</f>
        <v>齊魯樂語</v>
      </c>
      <c r="F72" s="7" t="s">
        <v>2669</v>
      </c>
      <c r="G72" s="7" t="str">
        <f t="shared" si="2"/>
        <v>齊魯書社</v>
      </c>
      <c r="H72" s="7" t="str">
        <f>T("20090901")</f>
        <v>20090901</v>
      </c>
      <c r="I72" s="7">
        <v>45</v>
      </c>
      <c r="J72" s="7">
        <v>270</v>
      </c>
      <c r="K72" s="9" t="s">
        <v>262</v>
      </c>
    </row>
    <row r="73" spans="1:11" x14ac:dyDescent="0.25">
      <c r="A73" s="5">
        <v>70</v>
      </c>
      <c r="B73" s="5">
        <v>51</v>
      </c>
      <c r="C73" s="10" t="s">
        <v>625</v>
      </c>
      <c r="D73" s="7" t="s">
        <v>1417</v>
      </c>
      <c r="E73" s="8" t="str">
        <f>T("漢賦文化學")</f>
        <v>漢賦文化學</v>
      </c>
      <c r="F73" s="7" t="s">
        <v>2670</v>
      </c>
      <c r="G73" s="7" t="str">
        <f t="shared" si="2"/>
        <v>齊魯書社</v>
      </c>
      <c r="H73" s="7" t="str">
        <f>T("20090801")</f>
        <v>20090801</v>
      </c>
      <c r="I73" s="7">
        <v>29</v>
      </c>
      <c r="J73" s="7">
        <v>174</v>
      </c>
      <c r="K73" s="9" t="s">
        <v>262</v>
      </c>
    </row>
    <row r="74" spans="1:11" ht="28.5" x14ac:dyDescent="0.25">
      <c r="A74" s="5">
        <v>71</v>
      </c>
      <c r="B74" s="5">
        <v>52</v>
      </c>
      <c r="C74" s="10" t="s">
        <v>627</v>
      </c>
      <c r="D74" s="7" t="s">
        <v>1418</v>
      </c>
      <c r="E74" s="8" t="str">
        <f>T("互通‧因襲‧衍化—宋元小說、講唱與戲曲關係研究")</f>
        <v>互通‧因襲‧衍化—宋元小說、講唱與戲曲關係研究</v>
      </c>
      <c r="F74" s="7" t="s">
        <v>2671</v>
      </c>
      <c r="G74" s="7" t="str">
        <f t="shared" si="2"/>
        <v>齊魯書社</v>
      </c>
      <c r="H74" s="7" t="str">
        <f>T("20090901")</f>
        <v>20090901</v>
      </c>
      <c r="I74" s="7">
        <v>30</v>
      </c>
      <c r="J74" s="7">
        <v>180</v>
      </c>
      <c r="K74" s="9" t="s">
        <v>262</v>
      </c>
    </row>
    <row r="75" spans="1:11" x14ac:dyDescent="0.25">
      <c r="A75" s="5">
        <v>72</v>
      </c>
      <c r="B75" s="5">
        <v>53</v>
      </c>
      <c r="C75" s="10" t="s">
        <v>656</v>
      </c>
      <c r="D75" s="7" t="s">
        <v>1419</v>
      </c>
      <c r="E75" s="8" t="str">
        <f>T("中國現代小說流派史（增訂本）")</f>
        <v>中國現代小說流派史（增訂本）</v>
      </c>
      <c r="F75" s="7" t="s">
        <v>2672</v>
      </c>
      <c r="G75" s="7" t="str">
        <f>T("長江文藝")</f>
        <v>長江文藝</v>
      </c>
      <c r="H75" s="7" t="str">
        <f>T("20090801")</f>
        <v>20090801</v>
      </c>
      <c r="I75" s="7">
        <v>30</v>
      </c>
      <c r="J75" s="7">
        <v>180</v>
      </c>
      <c r="K75" s="9" t="s">
        <v>262</v>
      </c>
    </row>
    <row r="76" spans="1:11" x14ac:dyDescent="0.25">
      <c r="A76" s="5">
        <v>73</v>
      </c>
      <c r="B76" s="5">
        <v>54</v>
      </c>
      <c r="C76" s="10" t="s">
        <v>677</v>
      </c>
      <c r="D76" s="7" t="s">
        <v>1420</v>
      </c>
      <c r="E76" s="8" t="str">
        <f>T("唐詩雜論(鳳凰讀者文庫)")</f>
        <v>唐詩雜論(鳳凰讀者文庫)</v>
      </c>
      <c r="F76" s="7" t="s">
        <v>2673</v>
      </c>
      <c r="G76" s="7" t="str">
        <f>T("江蘇文藝")</f>
        <v>江蘇文藝</v>
      </c>
      <c r="H76" s="7" t="str">
        <f>T("20061001")</f>
        <v>20061001</v>
      </c>
      <c r="I76" s="7">
        <v>16</v>
      </c>
      <c r="J76" s="7">
        <v>96</v>
      </c>
      <c r="K76" s="9" t="s">
        <v>262</v>
      </c>
    </row>
    <row r="77" spans="1:11" x14ac:dyDescent="0.25">
      <c r="A77" s="5">
        <v>74</v>
      </c>
      <c r="B77" s="5">
        <v>55</v>
      </c>
      <c r="C77" s="10" t="s">
        <v>194</v>
      </c>
      <c r="D77" s="7" t="s">
        <v>1421</v>
      </c>
      <c r="E77" s="8" t="str">
        <f>T("琵琶記的場上演變研究")</f>
        <v>琵琶記的場上演變研究</v>
      </c>
      <c r="F77" s="7" t="s">
        <v>2674</v>
      </c>
      <c r="G77" s="7" t="str">
        <f>T("上海三聯")</f>
        <v>上海三聯</v>
      </c>
      <c r="H77" s="7" t="str">
        <f>T("20090701")</f>
        <v>20090701</v>
      </c>
      <c r="I77" s="7">
        <v>23</v>
      </c>
      <c r="J77" s="7">
        <v>138</v>
      </c>
      <c r="K77" s="9" t="s">
        <v>262</v>
      </c>
    </row>
    <row r="78" spans="1:11" x14ac:dyDescent="0.25">
      <c r="A78" s="5">
        <v>75</v>
      </c>
      <c r="B78" s="5">
        <v>56</v>
      </c>
      <c r="C78" s="10" t="s">
        <v>914</v>
      </c>
      <c r="D78" s="7" t="s">
        <v>1422</v>
      </c>
      <c r="E78" s="8" t="str">
        <f>T("誰將冰心盛玉壺：清詞中的千古愁思")</f>
        <v>誰將冰心盛玉壺：清詞中的千古愁思</v>
      </c>
      <c r="F78" s="7" t="s">
        <v>2675</v>
      </c>
      <c r="G78" s="7" t="str">
        <f>T("西安交大")</f>
        <v>西安交大</v>
      </c>
      <c r="H78" s="7" t="str">
        <f>T("20100301")</f>
        <v>20100301</v>
      </c>
      <c r="I78" s="7">
        <v>29</v>
      </c>
      <c r="J78" s="7">
        <v>174</v>
      </c>
      <c r="K78" s="9" t="s">
        <v>262</v>
      </c>
    </row>
    <row r="79" spans="1:11" x14ac:dyDescent="0.25">
      <c r="A79" s="5">
        <v>76</v>
      </c>
      <c r="B79" s="5">
        <v>57</v>
      </c>
      <c r="C79" s="10" t="s">
        <v>941</v>
      </c>
      <c r="D79" s="7" t="s">
        <v>1423</v>
      </c>
      <c r="E79" s="8" t="str">
        <f>T("水墨音樂（桂）")</f>
        <v>水墨音樂（桂）</v>
      </c>
      <c r="F79" s="7" t="s">
        <v>2676</v>
      </c>
      <c r="G79" s="7" t="str">
        <f>T("廣西師大")</f>
        <v>廣西師大</v>
      </c>
      <c r="H79" s="7" t="str">
        <f>T("20060101")</f>
        <v>20060101</v>
      </c>
      <c r="I79" s="7">
        <v>35</v>
      </c>
      <c r="J79" s="7">
        <v>210</v>
      </c>
      <c r="K79" s="9" t="s">
        <v>262</v>
      </c>
    </row>
    <row r="80" spans="1:11" x14ac:dyDescent="0.25">
      <c r="A80" s="5">
        <v>77</v>
      </c>
      <c r="B80" s="5">
        <v>58</v>
      </c>
      <c r="C80" s="10" t="s">
        <v>181</v>
      </c>
      <c r="D80" s="7" t="s">
        <v>1424</v>
      </c>
      <c r="E80" s="8" t="str">
        <f>T("詞家有道")</f>
        <v>詞家有道</v>
      </c>
      <c r="F80" s="7" t="s">
        <v>2677</v>
      </c>
      <c r="G80" s="7" t="str">
        <f>T("廣西師大")</f>
        <v>廣西師大</v>
      </c>
      <c r="H80" s="7" t="str">
        <f>T("20100904")</f>
        <v>20100904</v>
      </c>
      <c r="I80" s="7">
        <v>29.8</v>
      </c>
      <c r="J80" s="7">
        <v>179</v>
      </c>
      <c r="K80" s="9" t="s">
        <v>262</v>
      </c>
    </row>
    <row r="81" spans="1:11" x14ac:dyDescent="0.25">
      <c r="A81" s="5">
        <v>78</v>
      </c>
      <c r="B81" s="5">
        <v>59</v>
      </c>
      <c r="C81" s="10" t="s">
        <v>1000</v>
      </c>
      <c r="D81" s="7" t="s">
        <v>1425</v>
      </c>
      <c r="E81" s="8" t="str">
        <f>T("鄭玄以禮箋《詩》研究")</f>
        <v>鄭玄以禮箋《詩》研究</v>
      </c>
      <c r="F81" s="7" t="s">
        <v>2678</v>
      </c>
      <c r="G81" s="7" t="str">
        <f>T("學苑")</f>
        <v>學苑</v>
      </c>
      <c r="H81" s="7" t="str">
        <f>T("")</f>
        <v/>
      </c>
      <c r="I81" s="7">
        <v>20</v>
      </c>
      <c r="J81" s="7">
        <v>120</v>
      </c>
      <c r="K81" s="9" t="s">
        <v>262</v>
      </c>
    </row>
    <row r="82" spans="1:11" x14ac:dyDescent="0.25">
      <c r="A82" s="5">
        <v>79</v>
      </c>
      <c r="B82" s="5">
        <v>60</v>
      </c>
      <c r="C82" s="10" t="s">
        <v>188</v>
      </c>
      <c r="D82" s="7" t="s">
        <v>1426</v>
      </c>
      <c r="E82" s="8" t="str">
        <f>T("宋詩拾遺（一函8冊）")</f>
        <v>宋詩拾遺（一函8冊）</v>
      </c>
      <c r="F82" s="7" t="s">
        <v>2619</v>
      </c>
      <c r="G82" s="7" t="str">
        <f>T("線裝書局")</f>
        <v>線裝書局</v>
      </c>
      <c r="H82" s="7" t="str">
        <f>T("20020501")</f>
        <v>20020501</v>
      </c>
      <c r="I82" s="7">
        <v>1080</v>
      </c>
      <c r="J82" s="7">
        <v>6480</v>
      </c>
      <c r="K82" s="9" t="s">
        <v>1318</v>
      </c>
    </row>
    <row r="83" spans="1:11" x14ac:dyDescent="0.25">
      <c r="A83" s="5">
        <v>80</v>
      </c>
      <c r="B83" s="5">
        <v>61</v>
      </c>
      <c r="C83" s="10" t="s">
        <v>1017</v>
      </c>
      <c r="D83" s="7" t="s">
        <v>1427</v>
      </c>
      <c r="E83" s="8" t="str">
        <f>T("20世紀中國古代文學研究史.戲曲卷")</f>
        <v>20世紀中國古代文學研究史.戲曲卷</v>
      </c>
      <c r="F83" s="7" t="s">
        <v>2679</v>
      </c>
      <c r="G83" s="7" t="str">
        <f>T("東方中心")</f>
        <v>東方中心</v>
      </c>
      <c r="H83" s="7" t="str">
        <f>T("20050101")</f>
        <v>20050101</v>
      </c>
      <c r="I83" s="7">
        <v>47</v>
      </c>
      <c r="J83" s="7">
        <v>282</v>
      </c>
      <c r="K83" s="9" t="s">
        <v>262</v>
      </c>
    </row>
    <row r="84" spans="1:11" x14ac:dyDescent="0.25">
      <c r="A84" s="5">
        <v>81</v>
      </c>
      <c r="B84" s="5">
        <v>62</v>
      </c>
      <c r="C84" s="10" t="s">
        <v>1193</v>
      </c>
      <c r="D84" s="7" t="s">
        <v>1428</v>
      </c>
      <c r="E84" s="8" t="str">
        <f>T("中國詩學（3）")</f>
        <v>中國詩學（3）</v>
      </c>
      <c r="F84" s="7" t="s">
        <v>2680</v>
      </c>
      <c r="G84" s="7" t="str">
        <f>T("東方中心")</f>
        <v>東方中心</v>
      </c>
      <c r="H84" s="7" t="str">
        <f>T("20080401")</f>
        <v>20080401</v>
      </c>
      <c r="I84" s="7">
        <v>25</v>
      </c>
      <c r="J84" s="7">
        <v>150</v>
      </c>
      <c r="K84" s="9" t="s">
        <v>262</v>
      </c>
    </row>
    <row r="85" spans="1:11" x14ac:dyDescent="0.25">
      <c r="A85" s="5">
        <v>82</v>
      </c>
      <c r="B85" s="5">
        <v>63</v>
      </c>
      <c r="C85" s="10" t="s">
        <v>1255</v>
      </c>
      <c r="D85" s="7" t="s">
        <v>1429</v>
      </c>
      <c r="E85" s="8" t="str">
        <f>T("明末清初詞風研究")</f>
        <v>明末清初詞風研究</v>
      </c>
      <c r="F85" s="7" t="s">
        <v>2681</v>
      </c>
      <c r="G85" s="7" t="str">
        <f>T("天津古籍")</f>
        <v>天津古籍</v>
      </c>
      <c r="H85" s="7" t="str">
        <f>T("20080401")</f>
        <v>20080401</v>
      </c>
      <c r="I85" s="7">
        <v>17</v>
      </c>
      <c r="J85" s="7">
        <v>102</v>
      </c>
      <c r="K85" s="9" t="s">
        <v>262</v>
      </c>
    </row>
    <row r="86" spans="1:11" x14ac:dyDescent="0.25">
      <c r="A86" s="5">
        <v>83</v>
      </c>
      <c r="B86" s="5">
        <v>64</v>
      </c>
      <c r="C86" s="10" t="s">
        <v>1257</v>
      </c>
      <c r="D86" s="7" t="s">
        <v>1430</v>
      </c>
      <c r="E86" s="8" t="str">
        <f>T("《九宮大成南北詞宮譜》聲調尋繹")</f>
        <v>《九宮大成南北詞宮譜》聲調尋繹</v>
      </c>
      <c r="F86" s="7" t="s">
        <v>2682</v>
      </c>
      <c r="G86" s="7" t="str">
        <f>T("天津古籍")</f>
        <v>天津古籍</v>
      </c>
      <c r="H86" s="7" t="str">
        <f>T("20090101")</f>
        <v>20090101</v>
      </c>
      <c r="I86" s="7">
        <v>30</v>
      </c>
      <c r="J86" s="7">
        <v>180</v>
      </c>
      <c r="K86" s="9" t="s">
        <v>262</v>
      </c>
    </row>
    <row r="87" spans="1:11" x14ac:dyDescent="0.25">
      <c r="A87" s="5">
        <v>84</v>
      </c>
      <c r="B87" s="5">
        <v>65</v>
      </c>
      <c r="C87" s="10" t="s">
        <v>1263</v>
      </c>
      <c r="D87" s="7" t="s">
        <v>1431</v>
      </c>
      <c r="E87" s="8" t="str">
        <f>T("詠史二部曲")</f>
        <v>詠史二部曲</v>
      </c>
      <c r="F87" s="7" t="s">
        <v>2683</v>
      </c>
      <c r="G87" s="7" t="str">
        <f>T("黃山書社")</f>
        <v>黃山書社</v>
      </c>
      <c r="H87" s="7" t="str">
        <f>T("20080501")</f>
        <v>20080501</v>
      </c>
      <c r="I87" s="7">
        <v>32</v>
      </c>
      <c r="J87" s="7">
        <v>192</v>
      </c>
      <c r="K87" s="9" t="s">
        <v>262</v>
      </c>
    </row>
    <row r="88" spans="1:11" x14ac:dyDescent="0.25">
      <c r="A88" s="5">
        <v>85</v>
      </c>
      <c r="B88" s="5">
        <v>66</v>
      </c>
      <c r="C88" s="10" t="s">
        <v>356</v>
      </c>
      <c r="D88" s="7" t="s">
        <v>1432</v>
      </c>
      <c r="E88" s="8" t="str">
        <f>T("戲劇的味道")</f>
        <v>戲劇的味道</v>
      </c>
      <c r="F88" s="7" t="s">
        <v>2684</v>
      </c>
      <c r="G88" s="7" t="str">
        <f>T("山東畫報")</f>
        <v>山東畫報</v>
      </c>
      <c r="H88" s="7" t="str">
        <f>T("20090101")</f>
        <v>20090101</v>
      </c>
      <c r="I88" s="7">
        <v>47</v>
      </c>
      <c r="J88" s="7">
        <v>282</v>
      </c>
      <c r="K88" s="9" t="s">
        <v>262</v>
      </c>
    </row>
    <row r="89" spans="1:11" x14ac:dyDescent="0.25">
      <c r="A89" s="5">
        <v>86</v>
      </c>
      <c r="B89" s="5">
        <v>67</v>
      </c>
      <c r="C89" s="10" t="s">
        <v>1279</v>
      </c>
      <c r="D89" s="7" t="s">
        <v>1433</v>
      </c>
      <c r="E89" s="8" t="str">
        <f>T("唐宋詞與唐宋文化")</f>
        <v>唐宋詞與唐宋文化</v>
      </c>
      <c r="F89" s="7" t="s">
        <v>2685</v>
      </c>
      <c r="G89" s="7" t="str">
        <f t="shared" ref="G89:G94" si="3">T("鳳凰")</f>
        <v>鳳凰</v>
      </c>
      <c r="H89" s="7" t="str">
        <f>T("20090401")</f>
        <v>20090401</v>
      </c>
      <c r="I89" s="7">
        <v>32</v>
      </c>
      <c r="J89" s="7">
        <v>192</v>
      </c>
      <c r="K89" s="9" t="s">
        <v>262</v>
      </c>
    </row>
    <row r="90" spans="1:11" x14ac:dyDescent="0.25">
      <c r="A90" s="5">
        <v>87</v>
      </c>
      <c r="B90" s="5">
        <v>68</v>
      </c>
      <c r="C90" s="10" t="s">
        <v>1280</v>
      </c>
      <c r="D90" s="7" t="s">
        <v>1434</v>
      </c>
      <c r="E90" s="8" t="str">
        <f>T("大曆詩風")</f>
        <v>大曆詩風</v>
      </c>
      <c r="F90" s="7" t="s">
        <v>2629</v>
      </c>
      <c r="G90" s="7" t="str">
        <f t="shared" si="3"/>
        <v>鳳凰</v>
      </c>
      <c r="H90" s="7" t="str">
        <f>T("20090401")</f>
        <v>20090401</v>
      </c>
      <c r="I90" s="7">
        <v>24</v>
      </c>
      <c r="J90" s="7">
        <v>144</v>
      </c>
      <c r="K90" s="9" t="s">
        <v>262</v>
      </c>
    </row>
    <row r="91" spans="1:11" x14ac:dyDescent="0.25">
      <c r="A91" s="5">
        <v>88</v>
      </c>
      <c r="B91" s="5">
        <v>69</v>
      </c>
      <c r="C91" s="10" t="s">
        <v>1282</v>
      </c>
      <c r="D91" s="7" t="s">
        <v>1435</v>
      </c>
      <c r="E91" s="8" t="str">
        <f>T("吳梅講詞曲(近代學術名家大講堂)")</f>
        <v>吳梅講詞曲(近代學術名家大講堂)</v>
      </c>
      <c r="F91" s="7" t="s">
        <v>2686</v>
      </c>
      <c r="G91" s="7" t="str">
        <f t="shared" si="3"/>
        <v>鳳凰</v>
      </c>
      <c r="H91" s="7" t="str">
        <f>T("20090501")</f>
        <v>20090501</v>
      </c>
      <c r="I91" s="7">
        <v>23</v>
      </c>
      <c r="J91" s="7">
        <v>138</v>
      </c>
      <c r="K91" s="9" t="s">
        <v>262</v>
      </c>
    </row>
    <row r="92" spans="1:11" x14ac:dyDescent="0.25">
      <c r="A92" s="5">
        <v>89</v>
      </c>
      <c r="B92" s="5">
        <v>70</v>
      </c>
      <c r="C92" s="10" t="s">
        <v>1283</v>
      </c>
      <c r="D92" s="7" t="s">
        <v>1436</v>
      </c>
      <c r="E92" s="8" t="str">
        <f>T("人生幾何時-?事·傳奇")</f>
        <v>人生幾何時-?事·傳奇</v>
      </c>
      <c r="F92" s="7" t="s">
        <v>2687</v>
      </c>
      <c r="G92" s="7" t="str">
        <f t="shared" si="3"/>
        <v>鳳凰</v>
      </c>
      <c r="H92" s="7" t="str">
        <f>T("20060701")</f>
        <v>20060701</v>
      </c>
      <c r="I92" s="7">
        <v>22</v>
      </c>
      <c r="J92" s="7">
        <v>132</v>
      </c>
      <c r="K92" s="9" t="s">
        <v>262</v>
      </c>
    </row>
    <row r="93" spans="1:11" x14ac:dyDescent="0.25">
      <c r="A93" s="5">
        <v>90</v>
      </c>
      <c r="B93" s="5">
        <v>71</v>
      </c>
      <c r="C93" s="10" t="s">
        <v>1284</v>
      </c>
      <c r="D93" s="7" t="s">
        <v>1437</v>
      </c>
      <c r="E93" s="8" t="str">
        <f>T("腸斷白蘋洲-閨意·宮詞")</f>
        <v>腸斷白蘋洲-閨意·宮詞</v>
      </c>
      <c r="F93" s="7" t="s">
        <v>2688</v>
      </c>
      <c r="G93" s="7" t="str">
        <f t="shared" si="3"/>
        <v>鳳凰</v>
      </c>
      <c r="H93" s="7" t="str">
        <f>T("20060701")</f>
        <v>20060701</v>
      </c>
      <c r="I93" s="7">
        <v>22</v>
      </c>
      <c r="J93" s="7">
        <v>132</v>
      </c>
      <c r="K93" s="9" t="s">
        <v>262</v>
      </c>
    </row>
    <row r="94" spans="1:11" x14ac:dyDescent="0.25">
      <c r="A94" s="5">
        <v>91</v>
      </c>
      <c r="B94" s="5">
        <v>72</v>
      </c>
      <c r="C94" s="10" t="s">
        <v>1285</v>
      </c>
      <c r="D94" s="7" t="s">
        <v>1438</v>
      </c>
      <c r="E94" s="8" t="str">
        <f>T("悠悠百世後-詠史·懷古")</f>
        <v>悠悠百世後-詠史·懷古</v>
      </c>
      <c r="F94" s="7" t="s">
        <v>2689</v>
      </c>
      <c r="G94" s="7" t="str">
        <f t="shared" si="3"/>
        <v>鳳凰</v>
      </c>
      <c r="H94" s="7" t="str">
        <f>T("20100601")</f>
        <v>20100601</v>
      </c>
      <c r="I94" s="7">
        <v>22</v>
      </c>
      <c r="J94" s="7">
        <v>132</v>
      </c>
      <c r="K94" s="9" t="s">
        <v>262</v>
      </c>
    </row>
    <row r="95" spans="1:11" x14ac:dyDescent="0.25">
      <c r="A95" s="5">
        <v>92</v>
      </c>
      <c r="B95" s="5">
        <v>73</v>
      </c>
      <c r="C95" s="10" t="s">
        <v>1141</v>
      </c>
      <c r="D95" s="7" t="s">
        <v>1439</v>
      </c>
      <c r="E95" s="8" t="str">
        <f>T("&lt;&lt;元詩選&gt;&gt;與元詩文獻研究")</f>
        <v>&lt;&lt;元詩選&gt;&gt;與元詩文獻研究</v>
      </c>
      <c r="F95" s="7" t="s">
        <v>2690</v>
      </c>
      <c r="G95" s="7" t="str">
        <f>T("巴蜀書社")</f>
        <v>巴蜀書社</v>
      </c>
      <c r="H95" s="7" t="str">
        <f>T("20100401")</f>
        <v>20100401</v>
      </c>
      <c r="I95" s="7">
        <v>40</v>
      </c>
      <c r="J95" s="7">
        <v>240</v>
      </c>
      <c r="K95" s="9" t="s">
        <v>262</v>
      </c>
    </row>
    <row r="96" spans="1:11" x14ac:dyDescent="0.25">
      <c r="A96" s="5">
        <v>93</v>
      </c>
      <c r="B96" s="5">
        <v>74</v>
      </c>
      <c r="C96" s="10" t="s">
        <v>1163</v>
      </c>
      <c r="D96" s="7" t="s">
        <v>1440</v>
      </c>
      <c r="E96" s="8" t="str">
        <f>T("揚州詩詠")</f>
        <v>揚州詩詠</v>
      </c>
      <c r="F96" s="7" t="s">
        <v>2691</v>
      </c>
      <c r="G96" s="7" t="str">
        <f>T("蘇州大學")</f>
        <v>蘇州大學</v>
      </c>
      <c r="H96" s="7" t="str">
        <f>T("")</f>
        <v/>
      </c>
      <c r="I96" s="7">
        <v>15</v>
      </c>
      <c r="J96" s="7">
        <v>90</v>
      </c>
      <c r="K96" s="9" t="s">
        <v>262</v>
      </c>
    </row>
    <row r="97" spans="1:11" x14ac:dyDescent="0.25">
      <c r="A97" s="5">
        <v>94</v>
      </c>
      <c r="B97" s="5">
        <v>75</v>
      </c>
      <c r="C97" s="10" t="s">
        <v>1171</v>
      </c>
      <c r="D97" s="7" t="s">
        <v>1441</v>
      </c>
      <c r="E97" s="8" t="str">
        <f>T("元雜劇藝術生產論")</f>
        <v>元雜劇藝術生產論</v>
      </c>
      <c r="F97" s="7" t="s">
        <v>2692</v>
      </c>
      <c r="G97" s="7" t="str">
        <f>T("廣播學院")</f>
        <v>廣播學院</v>
      </c>
      <c r="H97" s="7" t="str">
        <f>T("20030101")</f>
        <v>20030101</v>
      </c>
      <c r="I97" s="7">
        <v>18</v>
      </c>
      <c r="J97" s="7">
        <v>108</v>
      </c>
      <c r="K97" s="9" t="s">
        <v>262</v>
      </c>
    </row>
    <row r="98" spans="1:11" ht="28.5" x14ac:dyDescent="0.25">
      <c r="A98" s="5">
        <v>95</v>
      </c>
      <c r="B98" s="5">
        <v>76</v>
      </c>
      <c r="C98" s="10" t="s">
        <v>1189</v>
      </c>
      <c r="D98" s="7" t="s">
        <v>1442</v>
      </c>
      <c r="E98" s="8" t="str">
        <f>T("有韻說部無聲戲：清代小說劇曲相互改編研究")</f>
        <v>有韻說部無聲戲：清代小說劇曲相互改編研究</v>
      </c>
      <c r="F98" s="7" t="s">
        <v>2693</v>
      </c>
      <c r="G98" s="7" t="str">
        <f>T("中國傳媒")</f>
        <v>中國傳媒</v>
      </c>
      <c r="H98" s="7" t="str">
        <f>T("20091201")</f>
        <v>20091201</v>
      </c>
      <c r="I98" s="7">
        <v>45</v>
      </c>
      <c r="J98" s="7">
        <v>270</v>
      </c>
      <c r="K98" s="9" t="s">
        <v>262</v>
      </c>
    </row>
    <row r="99" spans="1:11" x14ac:dyDescent="0.25">
      <c r="A99" s="19" t="s">
        <v>1316</v>
      </c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5">
        <v>96</v>
      </c>
      <c r="B100" s="5">
        <v>1</v>
      </c>
      <c r="C100" s="10" t="s">
        <v>856</v>
      </c>
      <c r="D100" s="7" t="s">
        <v>1443</v>
      </c>
      <c r="E100" s="8" t="str">
        <f>T("國家圖書館學刊(2004.3)")</f>
        <v>國家圖書館學刊(2004.3)</v>
      </c>
      <c r="F100" s="7" t="s">
        <v>1962</v>
      </c>
      <c r="G100" s="7" t="str">
        <f t="shared" ref="G100:G102" si="4">T("")</f>
        <v/>
      </c>
      <c r="H100" s="7" t="str">
        <f>T("20040301")</f>
        <v>20040301</v>
      </c>
      <c r="I100" s="7">
        <v>12</v>
      </c>
      <c r="J100" s="7">
        <v>72</v>
      </c>
      <c r="K100" s="9" t="s">
        <v>1320</v>
      </c>
    </row>
    <row r="101" spans="1:11" x14ac:dyDescent="0.25">
      <c r="A101" s="5">
        <v>97</v>
      </c>
      <c r="B101" s="5">
        <v>2</v>
      </c>
      <c r="C101" s="10" t="s">
        <v>857</v>
      </c>
      <c r="D101" s="7" t="s">
        <v>1443</v>
      </c>
      <c r="E101" s="8" t="str">
        <f>T("國家圖書館學刊(2004.4)")</f>
        <v>國家圖書館學刊(2004.4)</v>
      </c>
      <c r="F101" s="7" t="s">
        <v>1962</v>
      </c>
      <c r="G101" s="7" t="str">
        <f t="shared" si="4"/>
        <v/>
      </c>
      <c r="H101" s="7" t="str">
        <f>T("20040401")</f>
        <v>20040401</v>
      </c>
      <c r="I101" s="7">
        <v>12</v>
      </c>
      <c r="J101" s="7">
        <v>72</v>
      </c>
      <c r="K101" s="9" t="s">
        <v>112</v>
      </c>
    </row>
    <row r="102" spans="1:11" x14ac:dyDescent="0.25">
      <c r="A102" s="5">
        <v>98</v>
      </c>
      <c r="B102" s="5">
        <v>3</v>
      </c>
      <c r="C102" s="10" t="s">
        <v>858</v>
      </c>
      <c r="D102" s="7" t="s">
        <v>1443</v>
      </c>
      <c r="E102" s="8" t="str">
        <f>T("國家圖書館學刊(2002.1)")</f>
        <v>國家圖書館學刊(2002.1)</v>
      </c>
      <c r="F102" s="7" t="s">
        <v>1962</v>
      </c>
      <c r="G102" s="7" t="str">
        <f t="shared" si="4"/>
        <v/>
      </c>
      <c r="H102" s="7" t="str">
        <f>T("20020101")</f>
        <v>20020101</v>
      </c>
      <c r="I102" s="7">
        <v>12</v>
      </c>
      <c r="J102" s="7">
        <v>72</v>
      </c>
      <c r="K102" s="9" t="s">
        <v>112</v>
      </c>
    </row>
    <row r="103" spans="1:11" x14ac:dyDescent="0.25">
      <c r="A103" s="5">
        <v>99</v>
      </c>
      <c r="B103" s="5">
        <v>4</v>
      </c>
      <c r="C103" s="10" t="s">
        <v>1086</v>
      </c>
      <c r="D103" s="7" t="s">
        <v>1444</v>
      </c>
      <c r="E103" s="8" t="str">
        <f>T("中國近三百年學術史—人民文庫叢書")</f>
        <v>中國近三百年學術史—人民文庫叢書</v>
      </c>
      <c r="F103" s="7" t="s">
        <v>2694</v>
      </c>
      <c r="G103" s="7" t="str">
        <f t="shared" ref="G103:G109" si="5">T("人民文學")</f>
        <v>人民文學</v>
      </c>
      <c r="H103" s="7" t="str">
        <f>T("20090112")</f>
        <v>20090112</v>
      </c>
      <c r="I103" s="7">
        <v>39</v>
      </c>
      <c r="J103" s="7">
        <v>234</v>
      </c>
      <c r="K103" s="9" t="s">
        <v>1320</v>
      </c>
    </row>
    <row r="104" spans="1:11" x14ac:dyDescent="0.25">
      <c r="A104" s="5">
        <v>100</v>
      </c>
      <c r="B104" s="5">
        <v>5</v>
      </c>
      <c r="C104" s="10" t="s">
        <v>1087</v>
      </c>
      <c r="D104" s="7" t="s">
        <v>1445</v>
      </c>
      <c r="E104" s="8" t="str">
        <f>T("先秦諸子禮學研究")</f>
        <v>先秦諸子禮學研究</v>
      </c>
      <c r="F104" s="7" t="s">
        <v>2695</v>
      </c>
      <c r="G104" s="7" t="str">
        <f t="shared" si="5"/>
        <v>人民文學</v>
      </c>
      <c r="H104" s="7" t="str">
        <f>T("20081201")</f>
        <v>20081201</v>
      </c>
      <c r="I104" s="7">
        <v>26</v>
      </c>
      <c r="J104" s="7">
        <v>156</v>
      </c>
      <c r="K104" s="9" t="s">
        <v>112</v>
      </c>
    </row>
    <row r="105" spans="1:11" x14ac:dyDescent="0.25">
      <c r="A105" s="5">
        <v>101</v>
      </c>
      <c r="B105" s="5">
        <v>6</v>
      </c>
      <c r="C105" s="10" t="s">
        <v>1088</v>
      </c>
      <c r="D105" s="7" t="s">
        <v>1446</v>
      </c>
      <c r="E105" s="8" t="str">
        <f>T("梁啟超趣味論研究(南湖學術文庫)")</f>
        <v>梁啟超趣味論研究(南湖學術文庫)</v>
      </c>
      <c r="F105" s="7" t="s">
        <v>2696</v>
      </c>
      <c r="G105" s="7" t="str">
        <f t="shared" si="5"/>
        <v>人民文學</v>
      </c>
      <c r="H105" s="7" t="str">
        <f>T("20090501")</f>
        <v>20090501</v>
      </c>
      <c r="I105" s="7">
        <v>39</v>
      </c>
      <c r="J105" s="7">
        <v>234</v>
      </c>
      <c r="K105" s="9" t="s">
        <v>1320</v>
      </c>
    </row>
    <row r="106" spans="1:11" x14ac:dyDescent="0.25">
      <c r="A106" s="5">
        <v>102</v>
      </c>
      <c r="B106" s="5">
        <v>7</v>
      </c>
      <c r="C106" s="10" t="s">
        <v>1058</v>
      </c>
      <c r="D106" s="7" t="s">
        <v>1447</v>
      </c>
      <c r="E106" s="8" t="str">
        <f>T("紅段子現象：網絡時代的中國文化精神")</f>
        <v>紅段子現象：網絡時代的中國文化精神</v>
      </c>
      <c r="F106" s="7" t="s">
        <v>2697</v>
      </c>
      <c r="G106" s="7" t="str">
        <f t="shared" si="5"/>
        <v>人民文學</v>
      </c>
      <c r="H106" s="7" t="str">
        <f>T("20100201")</f>
        <v>20100201</v>
      </c>
      <c r="I106" s="7">
        <v>55</v>
      </c>
      <c r="J106" s="7">
        <v>330</v>
      </c>
      <c r="K106" s="9" t="s">
        <v>1320</v>
      </c>
    </row>
    <row r="107" spans="1:11" x14ac:dyDescent="0.25">
      <c r="A107" s="5">
        <v>103</v>
      </c>
      <c r="B107" s="5">
        <v>8</v>
      </c>
      <c r="C107" s="10" t="s">
        <v>1059</v>
      </c>
      <c r="D107" s="7" t="s">
        <v>1448</v>
      </c>
      <c r="E107" s="8" t="str">
        <f>T("北京文學史-北京專史集成")</f>
        <v>北京文學史-北京專史集成</v>
      </c>
      <c r="F107" s="7" t="s">
        <v>2698</v>
      </c>
      <c r="G107" s="7" t="str">
        <f t="shared" si="5"/>
        <v>人民文學</v>
      </c>
      <c r="H107" s="7" t="str">
        <f>T("20100301")</f>
        <v>20100301</v>
      </c>
      <c r="I107" s="7">
        <v>60</v>
      </c>
      <c r="J107" s="7">
        <v>360</v>
      </c>
      <c r="K107" s="9" t="s">
        <v>1320</v>
      </c>
    </row>
    <row r="108" spans="1:11" x14ac:dyDescent="0.25">
      <c r="A108" s="5">
        <v>104</v>
      </c>
      <c r="B108" s="5">
        <v>9</v>
      </c>
      <c r="C108" s="10" t="s">
        <v>985</v>
      </c>
      <c r="D108" s="7" t="s">
        <v>1449</v>
      </c>
      <c r="E108" s="8" t="str">
        <f>T("經學傳統與中國古代學術文化形態")</f>
        <v>經學傳統與中國古代學術文化形態</v>
      </c>
      <c r="F108" s="7" t="s">
        <v>2699</v>
      </c>
      <c r="G108" s="7" t="str">
        <f t="shared" si="5"/>
        <v>人民文學</v>
      </c>
      <c r="H108" s="7" t="str">
        <f>T("20100801")</f>
        <v>20100801</v>
      </c>
      <c r="I108" s="7">
        <v>45</v>
      </c>
      <c r="J108" s="7">
        <v>270</v>
      </c>
      <c r="K108" s="9" t="s">
        <v>1320</v>
      </c>
    </row>
    <row r="109" spans="1:11" x14ac:dyDescent="0.25">
      <c r="A109" s="5">
        <v>105</v>
      </c>
      <c r="B109" s="5">
        <v>10</v>
      </c>
      <c r="C109" s="10" t="s">
        <v>481</v>
      </c>
      <c r="D109" s="7" t="s">
        <v>1450</v>
      </c>
      <c r="E109" s="8" t="str">
        <f>T("西昆體研究")</f>
        <v>西昆體研究</v>
      </c>
      <c r="F109" s="7" t="s">
        <v>2700</v>
      </c>
      <c r="G109" s="7" t="str">
        <f t="shared" si="5"/>
        <v>人民文學</v>
      </c>
      <c r="H109" s="7" t="str">
        <f>T("20100701")</f>
        <v>20100701</v>
      </c>
      <c r="I109" s="7">
        <v>29</v>
      </c>
      <c r="J109" s="7">
        <v>174</v>
      </c>
      <c r="K109" s="9" t="s">
        <v>1320</v>
      </c>
    </row>
    <row r="110" spans="1:11" x14ac:dyDescent="0.25">
      <c r="A110" s="5">
        <v>106</v>
      </c>
      <c r="B110" s="5">
        <v>11</v>
      </c>
      <c r="C110" s="10" t="s">
        <v>483</v>
      </c>
      <c r="D110" s="7" t="s">
        <v>1451</v>
      </c>
      <c r="E110" s="8" t="str">
        <f>T("國學概要-對國學的文化解讀")</f>
        <v>國學概要-對國學的文化解讀</v>
      </c>
      <c r="F110" s="7" t="s">
        <v>2701</v>
      </c>
      <c r="G110" s="7" t="str">
        <f>T("科學")</f>
        <v>科學</v>
      </c>
      <c r="H110" s="7" t="str">
        <f>T("20090201")</f>
        <v>20090201</v>
      </c>
      <c r="I110" s="7">
        <v>28</v>
      </c>
      <c r="J110" s="7">
        <v>168</v>
      </c>
      <c r="K110" s="9" t="s">
        <v>1320</v>
      </c>
    </row>
    <row r="111" spans="1:11" x14ac:dyDescent="0.25">
      <c r="A111" s="5">
        <v>107</v>
      </c>
      <c r="B111" s="5">
        <v>12</v>
      </c>
      <c r="C111" s="10" t="s">
        <v>486</v>
      </c>
      <c r="D111" s="7" t="s">
        <v>1452</v>
      </c>
      <c r="E111" s="8" t="str">
        <f>T("中國文學史（第二版）第三卷")</f>
        <v>中國文學史（第二版）第三卷</v>
      </c>
      <c r="F111" s="7" t="s">
        <v>2702</v>
      </c>
      <c r="G111" s="7" t="str">
        <f>T("高等教育")</f>
        <v>高等教育</v>
      </c>
      <c r="H111" s="7" t="str">
        <f>T("20050702")</f>
        <v>20050702</v>
      </c>
      <c r="I111" s="7">
        <v>31.4</v>
      </c>
      <c r="J111" s="7">
        <v>188</v>
      </c>
      <c r="K111" s="9" t="s">
        <v>112</v>
      </c>
    </row>
    <row r="112" spans="1:11" x14ac:dyDescent="0.25">
      <c r="A112" s="5">
        <v>108</v>
      </c>
      <c r="B112" s="5">
        <v>13</v>
      </c>
      <c r="C112" s="10" t="s">
        <v>784</v>
      </c>
      <c r="D112" s="7" t="s">
        <v>1453</v>
      </c>
      <c r="E112" s="8" t="str">
        <f>T("新時期中國古典文學研究述論 第一卷")</f>
        <v>新時期中國古典文學研究述論 第一卷</v>
      </c>
      <c r="F112" s="7" t="s">
        <v>2703</v>
      </c>
      <c r="G112" s="7" t="str">
        <f t="shared" ref="G112:G119" si="6">T("商務印書")</f>
        <v>商務印書</v>
      </c>
      <c r="H112" s="7" t="str">
        <f>T("20080601")</f>
        <v>20080601</v>
      </c>
      <c r="I112" s="7">
        <v>28</v>
      </c>
      <c r="J112" s="7">
        <v>168</v>
      </c>
      <c r="K112" s="9" t="s">
        <v>112</v>
      </c>
    </row>
    <row r="113" spans="1:11" ht="28.5" x14ac:dyDescent="0.25">
      <c r="A113" s="5">
        <v>109</v>
      </c>
      <c r="B113" s="5">
        <v>14</v>
      </c>
      <c r="C113" s="10" t="s">
        <v>785</v>
      </c>
      <c r="D113" s="7" t="s">
        <v>1454</v>
      </c>
      <c r="E113" s="8" t="str">
        <f>T("詩.思.史:衝突 融合:米蘭 昆德拉小說詩學引論")</f>
        <v>詩.思.史:衝突 融合:米蘭 昆德拉小說詩學引論</v>
      </c>
      <c r="F113" s="7" t="s">
        <v>2704</v>
      </c>
      <c r="G113" s="7" t="str">
        <f t="shared" si="6"/>
        <v>商務印書</v>
      </c>
      <c r="H113" s="7" t="str">
        <f>T("20060501")</f>
        <v>20060501</v>
      </c>
      <c r="I113" s="7">
        <v>22</v>
      </c>
      <c r="J113" s="7">
        <v>132</v>
      </c>
      <c r="K113" s="9" t="s">
        <v>112</v>
      </c>
    </row>
    <row r="114" spans="1:11" x14ac:dyDescent="0.25">
      <c r="A114" s="5">
        <v>110</v>
      </c>
      <c r="B114" s="5">
        <v>15</v>
      </c>
      <c r="C114" s="10" t="s">
        <v>787</v>
      </c>
      <c r="D114" s="7" t="s">
        <v>1455</v>
      </c>
      <c r="E114" s="8" t="str">
        <f>T("漢語語彙學研究")</f>
        <v>漢語語彙學研究</v>
      </c>
      <c r="F114" s="7" t="s">
        <v>2705</v>
      </c>
      <c r="G114" s="7" t="str">
        <f t="shared" si="6"/>
        <v>商務印書</v>
      </c>
      <c r="H114" s="7" t="str">
        <f>T("20090701")</f>
        <v>20090701</v>
      </c>
      <c r="I114" s="7">
        <v>27</v>
      </c>
      <c r="J114" s="7">
        <v>162</v>
      </c>
      <c r="K114" s="9" t="s">
        <v>112</v>
      </c>
    </row>
    <row r="115" spans="1:11" x14ac:dyDescent="0.25">
      <c r="A115" s="5">
        <v>111</v>
      </c>
      <c r="B115" s="5">
        <v>16</v>
      </c>
      <c r="C115" s="10" t="s">
        <v>610</v>
      </c>
      <c r="D115" s="7" t="s">
        <v>1456</v>
      </c>
      <c r="E115" s="8" t="str">
        <f>T("音韻學方法論討論集")</f>
        <v>音韻學方法論討論集</v>
      </c>
      <c r="F115" s="7" t="s">
        <v>2706</v>
      </c>
      <c r="G115" s="7" t="str">
        <f t="shared" si="6"/>
        <v>商務印書</v>
      </c>
      <c r="H115" s="7" t="str">
        <f>T("20090601")</f>
        <v>20090601</v>
      </c>
      <c r="I115" s="7">
        <v>33</v>
      </c>
      <c r="J115" s="7">
        <v>198</v>
      </c>
      <c r="K115" s="9" t="s">
        <v>1320</v>
      </c>
    </row>
    <row r="116" spans="1:11" x14ac:dyDescent="0.25">
      <c r="A116" s="5">
        <v>112</v>
      </c>
      <c r="B116" s="5">
        <v>17</v>
      </c>
      <c r="C116" s="10" t="s">
        <v>495</v>
      </c>
      <c r="D116" s="7" t="s">
        <v>1457</v>
      </c>
      <c r="E116" s="8" t="str">
        <f>T("辭源 研究論文集")</f>
        <v>辭源 研究論文集</v>
      </c>
      <c r="F116" s="7" t="s">
        <v>2707</v>
      </c>
      <c r="G116" s="7" t="str">
        <f t="shared" si="6"/>
        <v>商務印書</v>
      </c>
      <c r="H116" s="7" t="str">
        <f>T("20090301")</f>
        <v>20090301</v>
      </c>
      <c r="I116" s="7">
        <v>38</v>
      </c>
      <c r="J116" s="7">
        <v>228</v>
      </c>
      <c r="K116" s="9" t="s">
        <v>112</v>
      </c>
    </row>
    <row r="117" spans="1:11" x14ac:dyDescent="0.25">
      <c r="A117" s="5">
        <v>113</v>
      </c>
      <c r="B117" s="5">
        <v>18</v>
      </c>
      <c r="C117" s="10" t="s">
        <v>497</v>
      </c>
      <c r="D117" s="7" t="s">
        <v>1458</v>
      </c>
      <c r="E117" s="8" t="str">
        <f>T("中國訓詁學報 第一輯")</f>
        <v>中國訓詁學報 第一輯</v>
      </c>
      <c r="F117" s="7" t="s">
        <v>2708</v>
      </c>
      <c r="G117" s="7" t="str">
        <f t="shared" si="6"/>
        <v>商務印書</v>
      </c>
      <c r="H117" s="7" t="str">
        <f>T("20090601")</f>
        <v>20090601</v>
      </c>
      <c r="I117" s="7">
        <v>32</v>
      </c>
      <c r="J117" s="7">
        <v>192</v>
      </c>
      <c r="K117" s="9" t="s">
        <v>112</v>
      </c>
    </row>
    <row r="118" spans="1:11" x14ac:dyDescent="0.25">
      <c r="A118" s="5">
        <v>114</v>
      </c>
      <c r="B118" s="5">
        <v>19</v>
      </c>
      <c r="C118" s="10" t="s">
        <v>499</v>
      </c>
      <c r="D118" s="7" t="s">
        <v>1459</v>
      </c>
      <c r="E118" s="8" t="str">
        <f>T("漢語語彙研究史")</f>
        <v>漢語語彙研究史</v>
      </c>
      <c r="F118" s="7" t="s">
        <v>2709</v>
      </c>
      <c r="G118" s="7" t="str">
        <f t="shared" si="6"/>
        <v>商務印書</v>
      </c>
      <c r="H118" s="7" t="str">
        <f>T("20090701")</f>
        <v>20090701</v>
      </c>
      <c r="I118" s="7">
        <v>20</v>
      </c>
      <c r="J118" s="7">
        <v>120</v>
      </c>
      <c r="K118" s="9" t="s">
        <v>112</v>
      </c>
    </row>
    <row r="119" spans="1:11" x14ac:dyDescent="0.25">
      <c r="A119" s="5">
        <v>115</v>
      </c>
      <c r="B119" s="5">
        <v>20</v>
      </c>
      <c r="C119" s="10" t="s">
        <v>500</v>
      </c>
      <c r="D119" s="7" t="s">
        <v>1460</v>
      </c>
      <c r="E119" s="8" t="str">
        <f>T("古籍研究著作-張元濟全集-第9卷")</f>
        <v>古籍研究著作-張元濟全集-第9卷</v>
      </c>
      <c r="F119" s="7" t="s">
        <v>2710</v>
      </c>
      <c r="G119" s="7" t="str">
        <f t="shared" si="6"/>
        <v>商務印書</v>
      </c>
      <c r="H119" s="7" t="str">
        <f>T("20100901")</f>
        <v>20100901</v>
      </c>
      <c r="I119" s="7">
        <v>96</v>
      </c>
      <c r="J119" s="7">
        <v>576</v>
      </c>
      <c r="K119" s="9" t="s">
        <v>112</v>
      </c>
    </row>
    <row r="120" spans="1:11" x14ac:dyDescent="0.25">
      <c r="A120" s="5">
        <v>116</v>
      </c>
      <c r="B120" s="5">
        <v>21</v>
      </c>
      <c r="C120" s="10" t="s">
        <v>1052</v>
      </c>
      <c r="D120" s="7" t="s">
        <v>1461</v>
      </c>
      <c r="E120" s="8" t="str">
        <f>T("黃庭堅和江西詩派資料彙編(全二冊)")</f>
        <v>黃庭堅和江西詩派資料彙編(全二冊)</v>
      </c>
      <c r="F120" s="7" t="s">
        <v>2711</v>
      </c>
      <c r="G120" s="7" t="str">
        <f t="shared" ref="G120:G133" si="7">T("中華書局")</f>
        <v>中華書局</v>
      </c>
      <c r="H120" s="7" t="str">
        <f>T("20060201")</f>
        <v>20060201</v>
      </c>
      <c r="I120" s="7">
        <v>68</v>
      </c>
      <c r="J120" s="7">
        <v>408</v>
      </c>
      <c r="K120" s="9" t="s">
        <v>112</v>
      </c>
    </row>
    <row r="121" spans="1:11" x14ac:dyDescent="0.25">
      <c r="A121" s="5">
        <v>117</v>
      </c>
      <c r="B121" s="5">
        <v>22</v>
      </c>
      <c r="C121" s="10" t="s">
        <v>1053</v>
      </c>
      <c r="D121" s="7" t="s">
        <v>1462</v>
      </c>
      <c r="E121" s="8" t="str">
        <f>T("執守·反撥·超越--七月派史論")</f>
        <v>執守·反撥·超越--七月派史論</v>
      </c>
      <c r="F121" s="7" t="s">
        <v>2712</v>
      </c>
      <c r="G121" s="7" t="str">
        <f t="shared" si="7"/>
        <v>中華書局</v>
      </c>
      <c r="H121" s="7" t="str">
        <f>T("20030801")</f>
        <v>20030801</v>
      </c>
      <c r="I121" s="7">
        <v>25</v>
      </c>
      <c r="J121" s="7">
        <v>150</v>
      </c>
      <c r="K121" s="9" t="s">
        <v>112</v>
      </c>
    </row>
    <row r="122" spans="1:11" x14ac:dyDescent="0.25">
      <c r="A122" s="5">
        <v>118</v>
      </c>
      <c r="B122" s="5">
        <v>23</v>
      </c>
      <c r="C122" s="10" t="s">
        <v>429</v>
      </c>
      <c r="D122" s="7" t="s">
        <v>1463</v>
      </c>
      <c r="E122" s="8" t="str">
        <f>T("閩浙陣中日記")</f>
        <v>閩浙陣中日記</v>
      </c>
      <c r="F122" s="7" t="s">
        <v>1962</v>
      </c>
      <c r="G122" s="7" t="str">
        <f t="shared" si="7"/>
        <v>中華書局</v>
      </c>
      <c r="H122" s="7" t="str">
        <f>T("20070101")</f>
        <v>20070101</v>
      </c>
      <c r="I122" s="7">
        <v>18</v>
      </c>
      <c r="J122" s="7">
        <v>108</v>
      </c>
      <c r="K122" s="9" t="s">
        <v>112</v>
      </c>
    </row>
    <row r="123" spans="1:11" x14ac:dyDescent="0.25">
      <c r="A123" s="5">
        <v>119</v>
      </c>
      <c r="B123" s="5">
        <v>24</v>
      </c>
      <c r="C123" s="10" t="s">
        <v>430</v>
      </c>
      <c r="D123" s="7" t="s">
        <v>1464</v>
      </c>
      <c r="E123" s="8" t="str">
        <f>T("湘災紀略(近代史料筆記叢刊)")</f>
        <v>湘災紀略(近代史料筆記叢刊)</v>
      </c>
      <c r="F123" s="7" t="s">
        <v>2713</v>
      </c>
      <c r="G123" s="7" t="str">
        <f t="shared" si="7"/>
        <v>中華書局</v>
      </c>
      <c r="H123" s="7" t="str">
        <f>T("20070101")</f>
        <v>20070101</v>
      </c>
      <c r="I123" s="7">
        <v>25</v>
      </c>
      <c r="J123" s="7">
        <v>150</v>
      </c>
      <c r="K123" s="9" t="s">
        <v>112</v>
      </c>
    </row>
    <row r="124" spans="1:11" x14ac:dyDescent="0.25">
      <c r="A124" s="5">
        <v>120</v>
      </c>
      <c r="B124" s="5">
        <v>25</v>
      </c>
      <c r="C124" s="10" t="s">
        <v>431</v>
      </c>
      <c r="D124" s="7" t="s">
        <v>1465</v>
      </c>
      <c r="E124" s="8" t="str">
        <f>T("滇輶日記 東使紀程")</f>
        <v>滇輶日記 東使紀程</v>
      </c>
      <c r="F124" s="7" t="s">
        <v>2714</v>
      </c>
      <c r="G124" s="7" t="str">
        <f t="shared" si="7"/>
        <v>中華書局</v>
      </c>
      <c r="H124" s="7" t="str">
        <f>T("20070501")</f>
        <v>20070501</v>
      </c>
      <c r="I124" s="7">
        <v>12</v>
      </c>
      <c r="J124" s="7">
        <v>72</v>
      </c>
      <c r="K124" s="9" t="s">
        <v>112</v>
      </c>
    </row>
    <row r="125" spans="1:11" x14ac:dyDescent="0.25">
      <c r="A125" s="5">
        <v>121</v>
      </c>
      <c r="B125" s="5">
        <v>26</v>
      </c>
      <c r="C125" s="10" t="s">
        <v>432</v>
      </c>
      <c r="D125" s="7" t="s">
        <v>1466</v>
      </c>
      <c r="E125" s="8" t="str">
        <f>T("東游紀程")</f>
        <v>東游紀程</v>
      </c>
      <c r="F125" s="7" t="s">
        <v>1962</v>
      </c>
      <c r="G125" s="7" t="str">
        <f t="shared" si="7"/>
        <v>中華書局</v>
      </c>
      <c r="H125" s="7" t="str">
        <f>T("20070101")</f>
        <v>20070101</v>
      </c>
      <c r="I125" s="7">
        <v>15</v>
      </c>
      <c r="J125" s="7">
        <v>90</v>
      </c>
      <c r="K125" s="9" t="s">
        <v>112</v>
      </c>
    </row>
    <row r="126" spans="1:11" x14ac:dyDescent="0.25">
      <c r="A126" s="5">
        <v>122</v>
      </c>
      <c r="B126" s="5">
        <v>27</v>
      </c>
      <c r="C126" s="10" t="s">
        <v>333</v>
      </c>
      <c r="D126" s="7" t="s">
        <v>1467</v>
      </c>
      <c r="E126" s="8" t="str">
        <f>T("劉克莊與南宋學術")</f>
        <v>劉克莊與南宋學術</v>
      </c>
      <c r="F126" s="7" t="s">
        <v>2715</v>
      </c>
      <c r="G126" s="7" t="str">
        <f t="shared" si="7"/>
        <v>中華書局</v>
      </c>
      <c r="H126" s="7" t="str">
        <f>T("20071001")</f>
        <v>20071001</v>
      </c>
      <c r="I126" s="7">
        <v>32</v>
      </c>
      <c r="J126" s="7">
        <v>192</v>
      </c>
      <c r="K126" s="9" t="s">
        <v>112</v>
      </c>
    </row>
    <row r="127" spans="1:11" x14ac:dyDescent="0.25">
      <c r="A127" s="5">
        <v>123</v>
      </c>
      <c r="B127" s="5">
        <v>28</v>
      </c>
      <c r="C127" s="10" t="s">
        <v>745</v>
      </c>
      <c r="D127" s="7" t="s">
        <v>1468</v>
      </c>
      <c r="E127" s="8" t="str">
        <f>T("不求甚解：讀民國古代文學研究十八篇")</f>
        <v>不求甚解：讀民國古代文學研究十八篇</v>
      </c>
      <c r="F127" s="7" t="s">
        <v>2716</v>
      </c>
      <c r="G127" s="7" t="str">
        <f t="shared" si="7"/>
        <v>中華書局</v>
      </c>
      <c r="H127" s="7" t="str">
        <f>T("")</f>
        <v/>
      </c>
      <c r="I127" s="7">
        <v>49</v>
      </c>
      <c r="J127" s="7">
        <v>294</v>
      </c>
      <c r="K127" s="9" t="s">
        <v>112</v>
      </c>
    </row>
    <row r="128" spans="1:11" x14ac:dyDescent="0.25">
      <c r="A128" s="5">
        <v>124</v>
      </c>
      <c r="B128" s="5">
        <v>29</v>
      </c>
      <c r="C128" s="10" t="s">
        <v>747</v>
      </c>
      <c r="D128" s="7" t="s">
        <v>1469</v>
      </c>
      <c r="E128" s="8" t="str">
        <f>T("歷代律歷志校證")</f>
        <v>歷代律歷志校證</v>
      </c>
      <c r="F128" s="7" t="s">
        <v>2717</v>
      </c>
      <c r="G128" s="7" t="str">
        <f t="shared" si="7"/>
        <v>中華書局</v>
      </c>
      <c r="H128" s="7" t="str">
        <f>T("20081201")</f>
        <v>20081201</v>
      </c>
      <c r="I128" s="7">
        <v>26</v>
      </c>
      <c r="J128" s="7">
        <v>156</v>
      </c>
      <c r="K128" s="9" t="s">
        <v>112</v>
      </c>
    </row>
    <row r="129" spans="1:11" x14ac:dyDescent="0.25">
      <c r="A129" s="5">
        <v>125</v>
      </c>
      <c r="B129" s="5">
        <v>30</v>
      </c>
      <c r="C129" s="10" t="s">
        <v>573</v>
      </c>
      <c r="D129" s="7" t="s">
        <v>1470</v>
      </c>
      <c r="E129" s="8" t="str">
        <f>T("宋書校勘記長編（全3冊）")</f>
        <v>宋書校勘記長編（全3冊）</v>
      </c>
      <c r="F129" s="7" t="s">
        <v>2619</v>
      </c>
      <c r="G129" s="7" t="str">
        <f t="shared" si="7"/>
        <v>中華書局</v>
      </c>
      <c r="H129" s="7" t="str">
        <f>T("20081201")</f>
        <v>20081201</v>
      </c>
      <c r="I129" s="7">
        <v>780</v>
      </c>
      <c r="J129" s="7">
        <v>4680</v>
      </c>
      <c r="K129" s="9" t="s">
        <v>112</v>
      </c>
    </row>
    <row r="130" spans="1:11" x14ac:dyDescent="0.25">
      <c r="A130" s="5">
        <v>126</v>
      </c>
      <c r="B130" s="5">
        <v>31</v>
      </c>
      <c r="C130" s="10" t="s">
        <v>450</v>
      </c>
      <c r="D130" s="7" t="s">
        <v>1471</v>
      </c>
      <c r="E130" s="8" t="str">
        <f>T("二十世紀中國小說文獻學述略")</f>
        <v>二十世紀中國小說文獻學述略</v>
      </c>
      <c r="F130" s="7" t="s">
        <v>2718</v>
      </c>
      <c r="G130" s="7" t="str">
        <f t="shared" si="7"/>
        <v>中華書局</v>
      </c>
      <c r="H130" s="7" t="str">
        <f>T("20090401")</f>
        <v>20090401</v>
      </c>
      <c r="I130" s="7">
        <v>60</v>
      </c>
      <c r="J130" s="7">
        <v>360</v>
      </c>
      <c r="K130" s="9" t="s">
        <v>112</v>
      </c>
    </row>
    <row r="131" spans="1:11" x14ac:dyDescent="0.25">
      <c r="A131" s="5">
        <v>127</v>
      </c>
      <c r="B131" s="5">
        <v>32</v>
      </c>
      <c r="C131" s="10" t="s">
        <v>451</v>
      </c>
      <c r="D131" s="7" t="s">
        <v>1472</v>
      </c>
      <c r="E131" s="8" t="str">
        <f>T("稀見唐宋文獻叢考")</f>
        <v>稀見唐宋文獻叢考</v>
      </c>
      <c r="F131" s="7" t="s">
        <v>2719</v>
      </c>
      <c r="G131" s="7" t="str">
        <f t="shared" si="7"/>
        <v>中華書局</v>
      </c>
      <c r="H131" s="7" t="str">
        <f>T("20090401")</f>
        <v>20090401</v>
      </c>
      <c r="I131" s="7">
        <v>55</v>
      </c>
      <c r="J131" s="7">
        <v>330</v>
      </c>
      <c r="K131" s="9" t="s">
        <v>112</v>
      </c>
    </row>
    <row r="132" spans="1:11" x14ac:dyDescent="0.25">
      <c r="A132" s="5">
        <v>128</v>
      </c>
      <c r="B132" s="5">
        <v>33</v>
      </c>
      <c r="C132" s="10" t="s">
        <v>859</v>
      </c>
      <c r="D132" s="7" t="s">
        <v>1473</v>
      </c>
      <c r="E132" s="8" t="str">
        <f>T("文獻與文心. 元明清文學論考")</f>
        <v>文獻與文心. 元明清文學論考</v>
      </c>
      <c r="F132" s="7" t="s">
        <v>2720</v>
      </c>
      <c r="G132" s="7" t="str">
        <f t="shared" si="7"/>
        <v>中華書局</v>
      </c>
      <c r="H132" s="7" t="str">
        <f>T("20091201")</f>
        <v>20091201</v>
      </c>
      <c r="I132" s="7">
        <v>48</v>
      </c>
      <c r="J132" s="7">
        <v>288</v>
      </c>
      <c r="K132" s="9" t="s">
        <v>112</v>
      </c>
    </row>
    <row r="133" spans="1:11" x14ac:dyDescent="0.25">
      <c r="A133" s="5">
        <v>129</v>
      </c>
      <c r="B133" s="5">
        <v>34</v>
      </c>
      <c r="C133" s="10" t="s">
        <v>1084</v>
      </c>
      <c r="D133" s="7" t="s">
        <v>1474</v>
      </c>
      <c r="E133" s="8" t="str">
        <f>T("國文國史三十年：1")</f>
        <v>國文國史三十年：1</v>
      </c>
      <c r="F133" s="7" t="s">
        <v>2721</v>
      </c>
      <c r="G133" s="7" t="str">
        <f t="shared" si="7"/>
        <v>中華書局</v>
      </c>
      <c r="H133" s="7" t="str">
        <f>T("20110101")</f>
        <v>20110101</v>
      </c>
      <c r="I133" s="7">
        <v>39</v>
      </c>
      <c r="J133" s="7">
        <v>234</v>
      </c>
      <c r="K133" s="9" t="s">
        <v>112</v>
      </c>
    </row>
    <row r="134" spans="1:11" x14ac:dyDescent="0.25">
      <c r="A134" s="5">
        <v>130</v>
      </c>
      <c r="B134" s="5">
        <v>35</v>
      </c>
      <c r="C134" s="10" t="s">
        <v>868</v>
      </c>
      <c r="D134" s="7" t="s">
        <v>1475</v>
      </c>
      <c r="E134" s="8" t="str">
        <f>T("閃躍-甯磊說解&lt;&lt;道德經&gt;&gt;&lt;&lt;大學&gt;&gt;")</f>
        <v>閃躍-甯磊說解&lt;&lt;道德經&gt;&gt;&lt;&lt;大學&gt;&gt;</v>
      </c>
      <c r="F134" s="7" t="s">
        <v>2722</v>
      </c>
      <c r="G134" s="7" t="str">
        <f>T("中國戲劇")</f>
        <v>中國戲劇</v>
      </c>
      <c r="H134" s="7" t="str">
        <f>T("20100901")</f>
        <v>20100901</v>
      </c>
      <c r="I134" s="7">
        <v>28</v>
      </c>
      <c r="J134" s="7">
        <v>168</v>
      </c>
      <c r="K134" s="9" t="s">
        <v>112</v>
      </c>
    </row>
    <row r="135" spans="1:11" x14ac:dyDescent="0.25">
      <c r="A135" s="5">
        <v>131</v>
      </c>
      <c r="B135" s="5">
        <v>36</v>
      </c>
      <c r="C135" s="10" t="s">
        <v>846</v>
      </c>
      <c r="D135" s="7" t="s">
        <v>1476</v>
      </c>
      <c r="E135" s="8" t="str">
        <f>T("國學與國粹")</f>
        <v>國學與國粹</v>
      </c>
      <c r="F135" s="7" t="s">
        <v>2723</v>
      </c>
      <c r="G135" s="7" t="str">
        <f>T("天津人民")</f>
        <v>天津人民</v>
      </c>
      <c r="H135" s="7" t="str">
        <f>T("20100101")</f>
        <v>20100101</v>
      </c>
      <c r="I135" s="7">
        <v>26</v>
      </c>
      <c r="J135" s="7">
        <v>156</v>
      </c>
      <c r="K135" s="9" t="s">
        <v>112</v>
      </c>
    </row>
    <row r="136" spans="1:11" ht="28.5" x14ac:dyDescent="0.25">
      <c r="A136" s="5">
        <v>132</v>
      </c>
      <c r="B136" s="5">
        <v>37</v>
      </c>
      <c r="C136" s="10" t="s">
        <v>428</v>
      </c>
      <c r="D136" s="7" t="s">
        <v>1477</v>
      </c>
      <c r="E136" s="8" t="str">
        <f>T("中國俗文學史(世紀人文系列叢書)
—插圖本")</f>
        <v>中國俗文學史(世紀人文系列叢書)
—插圖本</v>
      </c>
      <c r="F136" s="7" t="s">
        <v>2724</v>
      </c>
      <c r="G136" s="7" t="str">
        <f>T("上海人民")</f>
        <v>上海人民</v>
      </c>
      <c r="H136" s="7" t="str">
        <f>T("20070101")</f>
        <v>20070101</v>
      </c>
      <c r="I136" s="7">
        <v>60</v>
      </c>
      <c r="J136" s="7">
        <v>360</v>
      </c>
      <c r="K136" s="9" t="s">
        <v>112</v>
      </c>
    </row>
    <row r="137" spans="1:11" x14ac:dyDescent="0.25">
      <c r="A137" s="5">
        <v>133</v>
      </c>
      <c r="B137" s="5">
        <v>38</v>
      </c>
      <c r="C137" s="10" t="s">
        <v>217</v>
      </c>
      <c r="D137" s="7" t="s">
        <v>1478</v>
      </c>
      <c r="E137" s="8" t="str">
        <f>T("歷史決定論的貧困")</f>
        <v>歷史決定論的貧困</v>
      </c>
      <c r="F137" s="7" t="s">
        <v>2725</v>
      </c>
      <c r="G137" s="7" t="str">
        <f>T("上海人民")</f>
        <v>上海人民</v>
      </c>
      <c r="H137" s="7" t="str">
        <f>T("20090701")</f>
        <v>20090701</v>
      </c>
      <c r="I137" s="7">
        <v>20</v>
      </c>
      <c r="J137" s="7">
        <v>120</v>
      </c>
      <c r="K137" s="9" t="s">
        <v>112</v>
      </c>
    </row>
    <row r="138" spans="1:11" ht="28.5" x14ac:dyDescent="0.25">
      <c r="A138" s="5">
        <v>134</v>
      </c>
      <c r="B138" s="5">
        <v>39</v>
      </c>
      <c r="C138" s="10" t="s">
        <v>218</v>
      </c>
      <c r="D138" s="7" t="s">
        <v>1479</v>
      </c>
      <c r="E138" s="8" t="str">
        <f>T("晚清以來蘇州評彈與蘇州社會-以書場為中心的研究")</f>
        <v>晚清以來蘇州評彈與蘇州社會-以書場為中心的研究</v>
      </c>
      <c r="F138" s="7" t="s">
        <v>2726</v>
      </c>
      <c r="G138" s="7" t="str">
        <f>T("上海人民")</f>
        <v>上海人民</v>
      </c>
      <c r="H138" s="7" t="str">
        <f>T("20100701")</f>
        <v>20100701</v>
      </c>
      <c r="I138" s="7">
        <v>32</v>
      </c>
      <c r="J138" s="7">
        <v>192</v>
      </c>
      <c r="K138" s="9" t="s">
        <v>112</v>
      </c>
    </row>
    <row r="139" spans="1:11" x14ac:dyDescent="0.25">
      <c r="A139" s="5">
        <v>135</v>
      </c>
      <c r="B139" s="5">
        <v>40</v>
      </c>
      <c r="C139" s="10" t="s">
        <v>569</v>
      </c>
      <c r="D139" s="7" t="s">
        <v>1480</v>
      </c>
      <c r="E139" s="8" t="str">
        <f>T("程朱禮法學研究")</f>
        <v>程朱禮法學研究</v>
      </c>
      <c r="F139" s="7" t="s">
        <v>2727</v>
      </c>
      <c r="G139" s="7" t="str">
        <f>T("山東人民")</f>
        <v>山東人民</v>
      </c>
      <c r="H139" s="7" t="str">
        <f>T("20090228")</f>
        <v>20090228</v>
      </c>
      <c r="I139" s="7">
        <v>29</v>
      </c>
      <c r="J139" s="7">
        <v>174</v>
      </c>
      <c r="K139" s="9" t="s">
        <v>112</v>
      </c>
    </row>
    <row r="140" spans="1:11" x14ac:dyDescent="0.25">
      <c r="A140" s="5">
        <v>136</v>
      </c>
      <c r="B140" s="5">
        <v>41</v>
      </c>
      <c r="C140" s="10" t="s">
        <v>449</v>
      </c>
      <c r="D140" s="7" t="s">
        <v>1481</v>
      </c>
      <c r="E140" s="8" t="str">
        <f>T("中國文化小通史-秦漢三國.第二卷")</f>
        <v>中國文化小通史-秦漢三國.第二卷</v>
      </c>
      <c r="F140" s="7" t="s">
        <v>2728</v>
      </c>
      <c r="G140" s="7" t="str">
        <f>T("福建人民")</f>
        <v>福建人民</v>
      </c>
      <c r="H140" s="7" t="str">
        <f>T("20060601")</f>
        <v>20060601</v>
      </c>
      <c r="I140" s="7">
        <v>14.7</v>
      </c>
      <c r="J140" s="7">
        <v>88</v>
      </c>
      <c r="K140" s="9" t="s">
        <v>1320</v>
      </c>
    </row>
    <row r="141" spans="1:11" x14ac:dyDescent="0.25">
      <c r="A141" s="5">
        <v>137</v>
      </c>
      <c r="B141" s="5">
        <v>42</v>
      </c>
      <c r="C141" s="10" t="s">
        <v>877</v>
      </c>
      <c r="D141" s="7" t="s">
        <v>1482</v>
      </c>
      <c r="E141" s="8" t="str">
        <f>T("先唐文化與散文風格的嬗變")</f>
        <v>先唐文化與散文風格的嬗變</v>
      </c>
      <c r="F141" s="7" t="s">
        <v>2729</v>
      </c>
      <c r="G141" s="7" t="str">
        <f>T("湖北人民")</f>
        <v>湖北人民</v>
      </c>
      <c r="H141" s="7" t="str">
        <f>T("20091001")</f>
        <v>20091001</v>
      </c>
      <c r="I141" s="7">
        <v>38</v>
      </c>
      <c r="J141" s="7">
        <v>228</v>
      </c>
      <c r="K141" s="9" t="s">
        <v>112</v>
      </c>
    </row>
    <row r="142" spans="1:11" x14ac:dyDescent="0.25">
      <c r="A142" s="5">
        <v>138</v>
      </c>
      <c r="B142" s="5">
        <v>43</v>
      </c>
      <c r="C142" s="10" t="s">
        <v>589</v>
      </c>
      <c r="D142" s="7" t="s">
        <v>1483</v>
      </c>
      <c r="E142" s="8" t="str">
        <f>T("中西比較文藝學")</f>
        <v>中西比較文藝學</v>
      </c>
      <c r="F142" s="7" t="s">
        <v>2730</v>
      </c>
      <c r="G142" s="7" t="str">
        <f>T("廣東人民")</f>
        <v>廣東人民</v>
      </c>
      <c r="H142" s="7" t="str">
        <f>T("20091201")</f>
        <v>20091201</v>
      </c>
      <c r="I142" s="7">
        <v>30</v>
      </c>
      <c r="J142" s="7">
        <v>180</v>
      </c>
      <c r="K142" s="9" t="s">
        <v>112</v>
      </c>
    </row>
    <row r="143" spans="1:11" x14ac:dyDescent="0.25">
      <c r="A143" s="5">
        <v>139</v>
      </c>
      <c r="B143" s="5">
        <v>44</v>
      </c>
      <c r="C143" s="10" t="s">
        <v>280</v>
      </c>
      <c r="D143" s="7" t="s">
        <v>1484</v>
      </c>
      <c r="E143" s="8" t="str">
        <f>T("荀子全譯")</f>
        <v>荀子全譯</v>
      </c>
      <c r="F143" s="7" t="s">
        <v>2731</v>
      </c>
      <c r="G143" s="7" t="str">
        <f>T("貴州人民")</f>
        <v>貴州人民</v>
      </c>
      <c r="H143" s="7" t="str">
        <f>T("20090301")</f>
        <v>20090301</v>
      </c>
      <c r="I143" s="7">
        <v>52</v>
      </c>
      <c r="J143" s="7">
        <v>312</v>
      </c>
      <c r="K143" s="9" t="s">
        <v>112</v>
      </c>
    </row>
    <row r="144" spans="1:11" x14ac:dyDescent="0.25">
      <c r="A144" s="5">
        <v>140</v>
      </c>
      <c r="B144" s="5">
        <v>45</v>
      </c>
      <c r="C144" s="10" t="s">
        <v>502</v>
      </c>
      <c r="D144" s="7" t="s">
        <v>1485</v>
      </c>
      <c r="E144" s="8" t="str">
        <f>T("在文藝與意識形態之間:胡風研究")</f>
        <v>在文藝與意識形態之間:胡風研究</v>
      </c>
      <c r="F144" s="7" t="s">
        <v>2732</v>
      </c>
      <c r="G144" s="7" t="str">
        <f>T("中國人大")</f>
        <v>中國人大</v>
      </c>
      <c r="H144" s="7" t="str">
        <f>T("20031101")</f>
        <v>20031101</v>
      </c>
      <c r="I144" s="7">
        <v>38</v>
      </c>
      <c r="J144" s="7">
        <v>228</v>
      </c>
      <c r="K144" s="9" t="s">
        <v>1320</v>
      </c>
    </row>
    <row r="145" spans="1:11" ht="28.5" x14ac:dyDescent="0.25">
      <c r="A145" s="5">
        <v>141</v>
      </c>
      <c r="B145" s="5">
        <v>46</v>
      </c>
      <c r="C145" s="11" t="s">
        <v>1321</v>
      </c>
      <c r="D145" s="7" t="s">
        <v>1486</v>
      </c>
      <c r="E145" s="8" t="s">
        <v>1322</v>
      </c>
      <c r="F145" s="7" t="s">
        <v>2733</v>
      </c>
      <c r="G145" s="7" t="s">
        <v>1323</v>
      </c>
      <c r="H145" s="7"/>
      <c r="I145" s="7"/>
      <c r="J145" s="7">
        <v>101</v>
      </c>
      <c r="K145" s="9" t="s">
        <v>1320</v>
      </c>
    </row>
    <row r="146" spans="1:11" x14ac:dyDescent="0.25">
      <c r="A146" s="5">
        <v>142</v>
      </c>
      <c r="B146" s="5">
        <v>47</v>
      </c>
      <c r="C146" s="10" t="s">
        <v>962</v>
      </c>
      <c r="D146" s="7" t="s">
        <v>1487</v>
      </c>
      <c r="E146" s="8" t="str">
        <f>T("文學的個性. 百家講壇")</f>
        <v>文學的個性. 百家講壇</v>
      </c>
      <c r="F146" s="7" t="s">
        <v>2734</v>
      </c>
      <c r="G146" s="7" t="str">
        <f>T("中國人大")</f>
        <v>中國人大</v>
      </c>
      <c r="H146" s="7" t="str">
        <f>T("20061001")</f>
        <v>20061001</v>
      </c>
      <c r="I146" s="7">
        <v>16</v>
      </c>
      <c r="J146" s="7">
        <v>96</v>
      </c>
      <c r="K146" s="9" t="s">
        <v>112</v>
      </c>
    </row>
    <row r="147" spans="1:11" ht="28.5" x14ac:dyDescent="0.25">
      <c r="A147" s="5">
        <v>143</v>
      </c>
      <c r="B147" s="5">
        <v>48</v>
      </c>
      <c r="C147" s="10" t="s">
        <v>966</v>
      </c>
      <c r="D147" s="7" t="s">
        <v>1488</v>
      </c>
      <c r="E147" s="8" t="str">
        <f>T("中國文學理論史（一）先秦兩漢、魏晉南北朝卷")</f>
        <v>中國文學理論史（一）先秦兩漢、魏晉南北朝卷</v>
      </c>
      <c r="F147" s="7" t="s">
        <v>2735</v>
      </c>
      <c r="G147" s="7" t="str">
        <f t="shared" ref="G147:G152" si="8">T("人民大學")</f>
        <v>人民大學</v>
      </c>
      <c r="H147" s="7" t="str">
        <f>T("20090401")</f>
        <v>20090401</v>
      </c>
      <c r="I147" s="7">
        <v>26</v>
      </c>
      <c r="J147" s="7">
        <v>156</v>
      </c>
      <c r="K147" s="9" t="s">
        <v>112</v>
      </c>
    </row>
    <row r="148" spans="1:11" x14ac:dyDescent="0.25">
      <c r="A148" s="5">
        <v>144</v>
      </c>
      <c r="B148" s="5">
        <v>49</v>
      </c>
      <c r="C148" s="10" t="s">
        <v>967</v>
      </c>
      <c r="D148" s="7" t="s">
        <v>1489</v>
      </c>
      <c r="E148" s="8" t="str">
        <f>T("中國文學理論史（二）隋唐五代、宋元卷")</f>
        <v>中國文學理論史（二）隋唐五代、宋元卷</v>
      </c>
      <c r="F148" s="7" t="s">
        <v>2736</v>
      </c>
      <c r="G148" s="7" t="str">
        <f t="shared" si="8"/>
        <v>人民大學</v>
      </c>
      <c r="H148" s="7" t="str">
        <f>T("20090401")</f>
        <v>20090401</v>
      </c>
      <c r="I148" s="7">
        <v>38</v>
      </c>
      <c r="J148" s="7">
        <v>228</v>
      </c>
      <c r="K148" s="9" t="s">
        <v>112</v>
      </c>
    </row>
    <row r="149" spans="1:11" x14ac:dyDescent="0.25">
      <c r="A149" s="5">
        <v>145</v>
      </c>
      <c r="B149" s="5">
        <v>50</v>
      </c>
      <c r="C149" s="10" t="s">
        <v>968</v>
      </c>
      <c r="D149" s="7" t="s">
        <v>1490</v>
      </c>
      <c r="E149" s="8" t="str">
        <f>T("中國文學理論史（三）明代卷")</f>
        <v>中國文學理論史（三）明代卷</v>
      </c>
      <c r="F149" s="7" t="s">
        <v>2737</v>
      </c>
      <c r="G149" s="7" t="str">
        <f t="shared" si="8"/>
        <v>人民大學</v>
      </c>
      <c r="H149" s="7" t="str">
        <f>T("20090401")</f>
        <v>20090401</v>
      </c>
      <c r="I149" s="7">
        <v>28</v>
      </c>
      <c r="J149" s="7">
        <v>168</v>
      </c>
      <c r="K149" s="9" t="s">
        <v>112</v>
      </c>
    </row>
    <row r="150" spans="1:11" x14ac:dyDescent="0.25">
      <c r="A150" s="5">
        <v>146</v>
      </c>
      <c r="B150" s="5">
        <v>51</v>
      </c>
      <c r="C150" s="10" t="s">
        <v>970</v>
      </c>
      <c r="D150" s="7" t="s">
        <v>1491</v>
      </c>
      <c r="E150" s="8" t="str">
        <f>T("中國文學理論史（四）清代卷")</f>
        <v>中國文學理論史（四）清代卷</v>
      </c>
      <c r="F150" s="7" t="s">
        <v>2738</v>
      </c>
      <c r="G150" s="7" t="str">
        <f t="shared" si="8"/>
        <v>人民大學</v>
      </c>
      <c r="H150" s="7" t="str">
        <f>T("20090401")</f>
        <v>20090401</v>
      </c>
      <c r="I150" s="7">
        <v>48</v>
      </c>
      <c r="J150" s="7">
        <v>288</v>
      </c>
      <c r="K150" s="9" t="s">
        <v>1320</v>
      </c>
    </row>
    <row r="151" spans="1:11" x14ac:dyDescent="0.25">
      <c r="A151" s="5">
        <v>147</v>
      </c>
      <c r="B151" s="5">
        <v>52</v>
      </c>
      <c r="C151" s="10" t="s">
        <v>969</v>
      </c>
      <c r="D151" s="7" t="s">
        <v>1492</v>
      </c>
      <c r="E151" s="8" t="str">
        <f>T("中國文學理論史（五）近代卷")</f>
        <v>中國文學理論史（五）近代卷</v>
      </c>
      <c r="F151" s="7" t="s">
        <v>2739</v>
      </c>
      <c r="G151" s="7" t="str">
        <f t="shared" si="8"/>
        <v>人民大學</v>
      </c>
      <c r="H151" s="7" t="str">
        <f>T("20090401")</f>
        <v>20090401</v>
      </c>
      <c r="I151" s="7">
        <v>28</v>
      </c>
      <c r="J151" s="7">
        <v>168</v>
      </c>
      <c r="K151" s="9" t="s">
        <v>112</v>
      </c>
    </row>
    <row r="152" spans="1:11" x14ac:dyDescent="0.25">
      <c r="A152" s="5">
        <v>148</v>
      </c>
      <c r="B152" s="5">
        <v>53</v>
      </c>
      <c r="C152" s="10" t="s">
        <v>972</v>
      </c>
      <c r="D152" s="7" t="s">
        <v>1493</v>
      </c>
      <c r="E152" s="8" t="str">
        <f>T("百家之言")</f>
        <v>百家之言</v>
      </c>
      <c r="F152" s="7" t="s">
        <v>2740</v>
      </c>
      <c r="G152" s="7" t="str">
        <f t="shared" si="8"/>
        <v>人民大學</v>
      </c>
      <c r="H152" s="7" t="str">
        <f>T("20090301")</f>
        <v>20090301</v>
      </c>
      <c r="I152" s="7">
        <v>52</v>
      </c>
      <c r="J152" s="7">
        <v>312</v>
      </c>
      <c r="K152" s="9" t="s">
        <v>112</v>
      </c>
    </row>
    <row r="153" spans="1:11" x14ac:dyDescent="0.25">
      <c r="A153" s="5">
        <v>149</v>
      </c>
      <c r="B153" s="5">
        <v>54</v>
      </c>
      <c r="C153" s="10" t="s">
        <v>841</v>
      </c>
      <c r="D153" s="7" t="s">
        <v>1494</v>
      </c>
      <c r="E153" s="8" t="str">
        <f>T("論二十世紀中國文學")</f>
        <v>論二十世紀中國文學</v>
      </c>
      <c r="F153" s="7" t="s">
        <v>2741</v>
      </c>
      <c r="G153" s="7" t="str">
        <f>T("中國人大")</f>
        <v>中國人大</v>
      </c>
      <c r="H153" s="7" t="str">
        <f>T("20091201")</f>
        <v>20091201</v>
      </c>
      <c r="I153" s="7">
        <v>36</v>
      </c>
      <c r="J153" s="7">
        <v>216</v>
      </c>
      <c r="K153" s="9" t="s">
        <v>112</v>
      </c>
    </row>
    <row r="154" spans="1:11" ht="28.5" x14ac:dyDescent="0.25">
      <c r="A154" s="5">
        <v>150</v>
      </c>
      <c r="B154" s="5">
        <v>55</v>
      </c>
      <c r="C154" s="10" t="s">
        <v>736</v>
      </c>
      <c r="D154" s="7" t="s">
        <v>1495</v>
      </c>
      <c r="E154" s="8" t="str">
        <f>T("謝無量文集：第三卷·朱子學派·陽明學派·王充哲學")</f>
        <v>謝無量文集：第三卷·朱子學派·陽明學派·王充哲學</v>
      </c>
      <c r="F154" s="7" t="s">
        <v>2742</v>
      </c>
      <c r="G154" s="7" t="str">
        <f>T("人民大學")</f>
        <v>人民大學</v>
      </c>
      <c r="H154" s="7" t="str">
        <f>T("20110501")</f>
        <v>20110501</v>
      </c>
      <c r="I154" s="7">
        <v>98</v>
      </c>
      <c r="J154" s="7">
        <v>588</v>
      </c>
      <c r="K154" s="9" t="s">
        <v>112</v>
      </c>
    </row>
    <row r="155" spans="1:11" ht="28.5" x14ac:dyDescent="0.25">
      <c r="A155" s="5">
        <v>151</v>
      </c>
      <c r="B155" s="5">
        <v>56</v>
      </c>
      <c r="C155" s="10" t="s">
        <v>733</v>
      </c>
      <c r="D155" s="7" t="s">
        <v>1496</v>
      </c>
      <c r="E155" s="8" t="str">
        <f>T("謝無量文集：第六卷 中國六大文豪 羅貫中與馬致遠")</f>
        <v>謝無量文集：第六卷 中國六大文豪 羅貫中與馬致遠</v>
      </c>
      <c r="F155" s="7" t="s">
        <v>2742</v>
      </c>
      <c r="G155" s="7" t="str">
        <f>T("人民大學")</f>
        <v>人民大學</v>
      </c>
      <c r="H155" s="7" t="str">
        <f>T("20110501")</f>
        <v>20110501</v>
      </c>
      <c r="I155" s="7">
        <v>108</v>
      </c>
      <c r="J155" s="7">
        <v>648</v>
      </c>
      <c r="K155" s="9" t="s">
        <v>112</v>
      </c>
    </row>
    <row r="156" spans="1:11" x14ac:dyDescent="0.25">
      <c r="A156" s="5">
        <v>152</v>
      </c>
      <c r="B156" s="5">
        <v>57</v>
      </c>
      <c r="C156" s="10" t="s">
        <v>734</v>
      </c>
      <c r="D156" s="7" t="s">
        <v>1497</v>
      </c>
      <c r="E156" s="8" t="str">
        <f>T("謝無量文集：第九卷·中國大文學史")</f>
        <v>謝無量文集：第九卷·中國大文學史</v>
      </c>
      <c r="F156" s="7" t="s">
        <v>2742</v>
      </c>
      <c r="G156" s="7" t="str">
        <f>T("人民大學")</f>
        <v>人民大學</v>
      </c>
      <c r="H156" s="7" t="str">
        <f>T("20110501")</f>
        <v>20110501</v>
      </c>
      <c r="I156" s="7">
        <v>148</v>
      </c>
      <c r="J156" s="7">
        <v>888</v>
      </c>
      <c r="K156" s="9" t="s">
        <v>112</v>
      </c>
    </row>
    <row r="157" spans="1:11" x14ac:dyDescent="0.25">
      <c r="A157" s="5">
        <v>153</v>
      </c>
      <c r="B157" s="5">
        <v>58</v>
      </c>
      <c r="C157" s="10" t="s">
        <v>851</v>
      </c>
      <c r="D157" s="7" t="s">
        <v>1498</v>
      </c>
      <c r="E157" s="8" t="str">
        <f>T("通俗文學十五講")</f>
        <v>通俗文學十五講</v>
      </c>
      <c r="F157" s="7" t="s">
        <v>2743</v>
      </c>
      <c r="G157" s="7" t="str">
        <f t="shared" ref="G157:G180" si="9">T("北京大學")</f>
        <v>北京大學</v>
      </c>
      <c r="H157" s="7" t="str">
        <f>T("20030101")</f>
        <v>20030101</v>
      </c>
      <c r="I157" s="7">
        <v>28</v>
      </c>
      <c r="J157" s="7">
        <v>210</v>
      </c>
      <c r="K157" s="9" t="s">
        <v>112</v>
      </c>
    </row>
    <row r="158" spans="1:11" x14ac:dyDescent="0.25">
      <c r="A158" s="5">
        <v>154</v>
      </c>
      <c r="B158" s="5">
        <v>59</v>
      </c>
      <c r="C158" s="10" t="s">
        <v>852</v>
      </c>
      <c r="D158" s="7" t="s">
        <v>1499</v>
      </c>
      <c r="E158" s="8" t="str">
        <f>T("政治學十五講")</f>
        <v>政治學十五講</v>
      </c>
      <c r="F158" s="7" t="s">
        <v>2744</v>
      </c>
      <c r="G158" s="7" t="str">
        <f t="shared" si="9"/>
        <v>北京大學</v>
      </c>
      <c r="H158" s="7" t="str">
        <f>T("20040701")</f>
        <v>20040701</v>
      </c>
      <c r="I158" s="7">
        <v>27</v>
      </c>
      <c r="J158" s="7">
        <v>162</v>
      </c>
      <c r="K158" s="9" t="s">
        <v>112</v>
      </c>
    </row>
    <row r="159" spans="1:11" x14ac:dyDescent="0.25">
      <c r="A159" s="5">
        <v>155</v>
      </c>
      <c r="B159" s="5">
        <v>60</v>
      </c>
      <c r="C159" s="10" t="s">
        <v>562</v>
      </c>
      <c r="D159" s="7" t="s">
        <v>1500</v>
      </c>
      <c r="E159" s="8" t="str">
        <f>T("中國當代女性文學的文化探析")</f>
        <v>中國當代女性文學的文化探析</v>
      </c>
      <c r="F159" s="7" t="s">
        <v>2745</v>
      </c>
      <c r="G159" s="7" t="str">
        <f t="shared" si="9"/>
        <v>北京大學</v>
      </c>
      <c r="H159" s="7" t="str">
        <f>T("20061201")</f>
        <v>20061201</v>
      </c>
      <c r="I159" s="7">
        <v>20</v>
      </c>
      <c r="J159" s="7">
        <v>120</v>
      </c>
      <c r="K159" s="9" t="s">
        <v>112</v>
      </c>
    </row>
    <row r="160" spans="1:11" x14ac:dyDescent="0.25">
      <c r="A160" s="5">
        <v>156</v>
      </c>
      <c r="B160" s="5">
        <v>61</v>
      </c>
      <c r="C160" s="10" t="s">
        <v>323</v>
      </c>
      <c r="D160" s="7" t="s">
        <v>1501</v>
      </c>
      <c r="E160" s="8" t="str">
        <f>T("燕園論詩——中國古代詩歌論集")</f>
        <v>燕園論詩——中國古代詩歌論集</v>
      </c>
      <c r="F160" s="7" t="s">
        <v>2746</v>
      </c>
      <c r="G160" s="7" t="str">
        <f t="shared" si="9"/>
        <v>北京大學</v>
      </c>
      <c r="H160" s="7" t="str">
        <f>T("20100916")</f>
        <v>20100916</v>
      </c>
      <c r="I160" s="7">
        <v>38</v>
      </c>
      <c r="J160" s="7">
        <v>228</v>
      </c>
      <c r="K160" s="9" t="s">
        <v>112</v>
      </c>
    </row>
    <row r="161" spans="1:11" x14ac:dyDescent="0.25">
      <c r="A161" s="5">
        <v>157</v>
      </c>
      <c r="B161" s="5">
        <v>62</v>
      </c>
      <c r="C161" s="10" t="s">
        <v>201</v>
      </c>
      <c r="D161" s="7" t="s">
        <v>1502</v>
      </c>
      <c r="E161" s="8" t="str">
        <f>T("昆侖法學論叢 第三卷")</f>
        <v>昆侖法學論叢 第三卷</v>
      </c>
      <c r="F161" s="7" t="s">
        <v>2747</v>
      </c>
      <c r="G161" s="7" t="str">
        <f t="shared" si="9"/>
        <v>北京大學</v>
      </c>
      <c r="H161" s="7" t="str">
        <f>T("20060801")</f>
        <v>20060801</v>
      </c>
      <c r="I161" s="7">
        <v>21</v>
      </c>
      <c r="J161" s="7">
        <v>126</v>
      </c>
      <c r="K161" s="9" t="s">
        <v>112</v>
      </c>
    </row>
    <row r="162" spans="1:11" x14ac:dyDescent="0.25">
      <c r="A162" s="5">
        <v>158</v>
      </c>
      <c r="B162" s="5">
        <v>63</v>
      </c>
      <c r="C162" s="10" t="s">
        <v>203</v>
      </c>
      <c r="D162" s="7" t="s">
        <v>1503</v>
      </c>
      <c r="E162" s="8" t="str">
        <f>T("雙重迷宮：外國文化文學隨筆")</f>
        <v>雙重迷宮：外國文化文學隨筆</v>
      </c>
      <c r="F162" s="7" t="s">
        <v>2748</v>
      </c>
      <c r="G162" s="7" t="str">
        <f t="shared" si="9"/>
        <v>北京大學</v>
      </c>
      <c r="H162" s="7" t="str">
        <f>T("20061201")</f>
        <v>20061201</v>
      </c>
      <c r="I162" s="7">
        <v>32</v>
      </c>
      <c r="J162" s="7">
        <v>192</v>
      </c>
      <c r="K162" s="9" t="s">
        <v>112</v>
      </c>
    </row>
    <row r="163" spans="1:11" x14ac:dyDescent="0.25">
      <c r="A163" s="5">
        <v>159</v>
      </c>
      <c r="B163" s="5">
        <v>64</v>
      </c>
      <c r="C163" s="10" t="s">
        <v>77</v>
      </c>
      <c r="D163" s="7" t="s">
        <v>1504</v>
      </c>
      <c r="E163" s="8" t="str">
        <f>T("國學：多學科的視角")</f>
        <v>國學：多學科的視角</v>
      </c>
      <c r="F163" s="7" t="s">
        <v>2702</v>
      </c>
      <c r="G163" s="7" t="str">
        <f t="shared" si="9"/>
        <v>北京大學</v>
      </c>
      <c r="H163" s="7" t="str">
        <f>T("20070601")</f>
        <v>20070601</v>
      </c>
      <c r="I163" s="7">
        <v>52</v>
      </c>
      <c r="J163" s="7">
        <v>312</v>
      </c>
      <c r="K163" s="9" t="s">
        <v>112</v>
      </c>
    </row>
    <row r="164" spans="1:11" x14ac:dyDescent="0.25">
      <c r="A164" s="5">
        <v>160</v>
      </c>
      <c r="B164" s="5">
        <v>65</v>
      </c>
      <c r="C164" s="10" t="s">
        <v>78</v>
      </c>
      <c r="D164" s="7" t="s">
        <v>1505</v>
      </c>
      <c r="E164" s="8" t="str">
        <f>T("文學知識學")</f>
        <v>文學知識學</v>
      </c>
      <c r="F164" s="7" t="s">
        <v>2749</v>
      </c>
      <c r="G164" s="7" t="str">
        <f t="shared" si="9"/>
        <v>北京大學</v>
      </c>
      <c r="H164" s="7" t="str">
        <f>T("20090101")</f>
        <v>20090101</v>
      </c>
      <c r="I164" s="7">
        <v>55</v>
      </c>
      <c r="J164" s="7">
        <v>330</v>
      </c>
      <c r="K164" s="9" t="s">
        <v>112</v>
      </c>
    </row>
    <row r="165" spans="1:11" x14ac:dyDescent="0.25">
      <c r="A165" s="5">
        <v>161</v>
      </c>
      <c r="B165" s="5">
        <v>66</v>
      </c>
      <c r="C165" s="10" t="s">
        <v>80</v>
      </c>
      <c r="D165" s="7" t="s">
        <v>1506</v>
      </c>
      <c r="E165" s="8" t="str">
        <f>T("雨中春樹人家:品味華夏建築")</f>
        <v>雨中春樹人家:品味華夏建築</v>
      </c>
      <c r="F165" s="7" t="s">
        <v>2750</v>
      </c>
      <c r="G165" s="7" t="str">
        <f t="shared" si="9"/>
        <v>北京大學</v>
      </c>
      <c r="H165" s="7" t="str">
        <f>T("20080301")</f>
        <v>20080301</v>
      </c>
      <c r="I165" s="7">
        <v>50</v>
      </c>
      <c r="J165" s="7">
        <v>300</v>
      </c>
      <c r="K165" s="9" t="s">
        <v>112</v>
      </c>
    </row>
    <row r="166" spans="1:11" x14ac:dyDescent="0.25">
      <c r="A166" s="5">
        <v>162</v>
      </c>
      <c r="B166" s="5">
        <v>67</v>
      </c>
      <c r="C166" s="10" t="s">
        <v>81</v>
      </c>
      <c r="D166" s="7" t="s">
        <v>1507</v>
      </c>
      <c r="E166" s="8" t="str">
        <f>T("恰如燈下故人:諦聽中國瓷器妙音")</f>
        <v>恰如燈下故人:諦聽中國瓷器妙音</v>
      </c>
      <c r="F166" s="7" t="s">
        <v>2751</v>
      </c>
      <c r="G166" s="7" t="str">
        <f t="shared" si="9"/>
        <v>北京大學</v>
      </c>
      <c r="H166" s="7" t="str">
        <f>T("20080301")</f>
        <v>20080301</v>
      </c>
      <c r="I166" s="7">
        <v>50</v>
      </c>
      <c r="J166" s="7">
        <v>300</v>
      </c>
      <c r="K166" s="9" t="s">
        <v>112</v>
      </c>
    </row>
    <row r="167" spans="1:11" x14ac:dyDescent="0.25">
      <c r="A167" s="5">
        <v>163</v>
      </c>
      <c r="B167" s="5">
        <v>68</v>
      </c>
      <c r="C167" s="10" t="s">
        <v>82</v>
      </c>
      <c r="D167" s="7" t="s">
        <v>1508</v>
      </c>
      <c r="E167" s="8" t="str">
        <f>T("中華文學演義（上下）")</f>
        <v>中華文學演義（上下）</v>
      </c>
      <c r="F167" s="7" t="s">
        <v>2752</v>
      </c>
      <c r="G167" s="7" t="str">
        <f t="shared" si="9"/>
        <v>北京大學</v>
      </c>
      <c r="H167" s="7" t="str">
        <f>T("20080101")</f>
        <v>20080101</v>
      </c>
      <c r="I167" s="7">
        <v>76</v>
      </c>
      <c r="J167" s="7">
        <v>456</v>
      </c>
      <c r="K167" s="9" t="s">
        <v>1320</v>
      </c>
    </row>
    <row r="168" spans="1:11" x14ac:dyDescent="0.25">
      <c r="A168" s="5">
        <v>164</v>
      </c>
      <c r="B168" s="5">
        <v>69</v>
      </c>
      <c r="C168" s="10" t="s">
        <v>219</v>
      </c>
      <c r="D168" s="7" t="s">
        <v>1509</v>
      </c>
      <c r="E168" s="8" t="str">
        <f>T("圖學館學是什麼")</f>
        <v>圖學館學是什麼</v>
      </c>
      <c r="F168" s="7" t="s">
        <v>2753</v>
      </c>
      <c r="G168" s="7" t="str">
        <f t="shared" si="9"/>
        <v>北京大學</v>
      </c>
      <c r="H168" s="7" t="str">
        <f>T("20080301")</f>
        <v>20080301</v>
      </c>
      <c r="I168" s="7">
        <v>26</v>
      </c>
      <c r="J168" s="7">
        <v>156</v>
      </c>
      <c r="K168" s="9" t="s">
        <v>112</v>
      </c>
    </row>
    <row r="169" spans="1:11" x14ac:dyDescent="0.25">
      <c r="A169" s="5">
        <v>165</v>
      </c>
      <c r="B169" s="5">
        <v>70</v>
      </c>
      <c r="C169" s="10" t="s">
        <v>335</v>
      </c>
      <c r="D169" s="7" t="s">
        <v>1510</v>
      </c>
      <c r="E169" s="8" t="str">
        <f>T("中國文化六講")</f>
        <v>中國文化六講</v>
      </c>
      <c r="F169" s="7" t="s">
        <v>2754</v>
      </c>
      <c r="G169" s="7" t="str">
        <f t="shared" si="9"/>
        <v>北京大學</v>
      </c>
      <c r="H169" s="7" t="str">
        <f>T("20080701")</f>
        <v>20080701</v>
      </c>
      <c r="I169" s="7">
        <v>25</v>
      </c>
      <c r="J169" s="7">
        <v>150</v>
      </c>
      <c r="K169" s="9" t="s">
        <v>112</v>
      </c>
    </row>
    <row r="170" spans="1:11" x14ac:dyDescent="0.25">
      <c r="A170" s="5">
        <v>166</v>
      </c>
      <c r="B170" s="5">
        <v>71</v>
      </c>
      <c r="C170" s="10" t="s">
        <v>441</v>
      </c>
      <c r="D170" s="7" t="s">
        <v>1511</v>
      </c>
      <c r="E170" s="8" t="str">
        <f>T("紅樓鐘聲及其迴響--重新審讀五四新文化")</f>
        <v>紅樓鐘聲及其迴響--重新審讀五四新文化</v>
      </c>
      <c r="F170" s="7" t="s">
        <v>2755</v>
      </c>
      <c r="G170" s="7" t="str">
        <f t="shared" si="9"/>
        <v>北京大學</v>
      </c>
      <c r="H170" s="7" t="str">
        <f>T("20090401")</f>
        <v>20090401</v>
      </c>
      <c r="I170" s="7">
        <v>42</v>
      </c>
      <c r="J170" s="7">
        <v>252</v>
      </c>
      <c r="K170" s="9" t="s">
        <v>112</v>
      </c>
    </row>
    <row r="171" spans="1:11" x14ac:dyDescent="0.25">
      <c r="A171" s="5">
        <v>167</v>
      </c>
      <c r="B171" s="5">
        <v>72</v>
      </c>
      <c r="C171" s="10" t="s">
        <v>444</v>
      </c>
      <c r="D171" s="7" t="s">
        <v>1512</v>
      </c>
      <c r="E171" s="8" t="str">
        <f>T("傅維鱗與明書")</f>
        <v>傅維鱗與明書</v>
      </c>
      <c r="F171" s="7" t="s">
        <v>2756</v>
      </c>
      <c r="G171" s="7" t="str">
        <f t="shared" si="9"/>
        <v>北京大學</v>
      </c>
      <c r="H171" s="7" t="str">
        <f>T("20090601")</f>
        <v>20090601</v>
      </c>
      <c r="I171" s="7">
        <v>30</v>
      </c>
      <c r="J171" s="7">
        <v>180</v>
      </c>
      <c r="K171" s="9" t="s">
        <v>112</v>
      </c>
    </row>
    <row r="172" spans="1:11" x14ac:dyDescent="0.25">
      <c r="A172" s="5">
        <v>168</v>
      </c>
      <c r="B172" s="5">
        <v>73</v>
      </c>
      <c r="C172" s="10" t="s">
        <v>445</v>
      </c>
      <c r="D172" s="7" t="s">
        <v>1513</v>
      </c>
      <c r="E172" s="8" t="str">
        <f>T("中國當代文學概說")</f>
        <v>中國當代文學概說</v>
      </c>
      <c r="F172" s="7" t="s">
        <v>2757</v>
      </c>
      <c r="G172" s="7" t="str">
        <f t="shared" si="9"/>
        <v>北京大學</v>
      </c>
      <c r="H172" s="7" t="str">
        <f>T("20081201")</f>
        <v>20081201</v>
      </c>
      <c r="I172" s="7">
        <v>25</v>
      </c>
      <c r="J172" s="7">
        <v>150</v>
      </c>
      <c r="K172" s="9" t="s">
        <v>112</v>
      </c>
    </row>
    <row r="173" spans="1:11" x14ac:dyDescent="0.25">
      <c r="A173" s="5">
        <v>169</v>
      </c>
      <c r="B173" s="5">
        <v>74</v>
      </c>
      <c r="C173" s="10" t="s">
        <v>446</v>
      </c>
      <c r="D173" s="7" t="s">
        <v>1514</v>
      </c>
      <c r="E173" s="8" t="str">
        <f>T("秦簡牘書研究")</f>
        <v>秦簡牘書研究</v>
      </c>
      <c r="F173" s="7" t="s">
        <v>2758</v>
      </c>
      <c r="G173" s="7" t="str">
        <f t="shared" si="9"/>
        <v>北京大學</v>
      </c>
      <c r="H173" s="7" t="str">
        <f>T("20090801")</f>
        <v>20090801</v>
      </c>
      <c r="I173" s="7">
        <v>32</v>
      </c>
      <c r="J173" s="7">
        <v>192</v>
      </c>
      <c r="K173" s="9" t="s">
        <v>112</v>
      </c>
    </row>
    <row r="174" spans="1:11" x14ac:dyDescent="0.25">
      <c r="A174" s="5">
        <v>170</v>
      </c>
      <c r="B174" s="5">
        <v>75</v>
      </c>
      <c r="C174" s="10" t="s">
        <v>447</v>
      </c>
      <c r="D174" s="7" t="s">
        <v>1515</v>
      </c>
      <c r="E174" s="8" t="str">
        <f>T("淮南子考論")</f>
        <v>淮南子考論</v>
      </c>
      <c r="F174" s="7" t="s">
        <v>2759</v>
      </c>
      <c r="G174" s="7" t="str">
        <f t="shared" si="9"/>
        <v>北京大學</v>
      </c>
      <c r="H174" s="7" t="str">
        <f>T("20090701")</f>
        <v>20090701</v>
      </c>
      <c r="I174" s="7">
        <v>27</v>
      </c>
      <c r="J174" s="7">
        <v>162</v>
      </c>
      <c r="K174" s="9" t="s">
        <v>112</v>
      </c>
    </row>
    <row r="175" spans="1:11" x14ac:dyDescent="0.25">
      <c r="A175" s="5">
        <v>171</v>
      </c>
      <c r="B175" s="5">
        <v>76</v>
      </c>
      <c r="C175" s="10" t="s">
        <v>341</v>
      </c>
      <c r="D175" s="7" t="s">
        <v>1516</v>
      </c>
      <c r="E175" s="8" t="str">
        <f>T("中國史綱")</f>
        <v>中國史綱</v>
      </c>
      <c r="F175" s="7" t="s">
        <v>2760</v>
      </c>
      <c r="G175" s="7" t="str">
        <f t="shared" si="9"/>
        <v>北京大學</v>
      </c>
      <c r="H175" s="7" t="str">
        <f>T("20091201")</f>
        <v>20091201</v>
      </c>
      <c r="I175" s="7">
        <v>25</v>
      </c>
      <c r="J175" s="7">
        <v>150</v>
      </c>
      <c r="K175" s="9" t="s">
        <v>112</v>
      </c>
    </row>
    <row r="176" spans="1:11" ht="28.5" x14ac:dyDescent="0.25">
      <c r="A176" s="5">
        <v>172</v>
      </c>
      <c r="B176" s="5">
        <v>77</v>
      </c>
      <c r="C176" s="10" t="s">
        <v>342</v>
      </c>
      <c r="D176" s="7" t="s">
        <v>1517</v>
      </c>
      <c r="E176" s="8" t="str">
        <f>T("文學史的多重面孔-八十年代文學事件再討論")</f>
        <v>文學史的多重面孔-八十年代文學事件再討論</v>
      </c>
      <c r="F176" s="7" t="s">
        <v>2761</v>
      </c>
      <c r="G176" s="7" t="str">
        <f t="shared" si="9"/>
        <v>北京大學</v>
      </c>
      <c r="H176" s="7" t="str">
        <f>T("20090901")</f>
        <v>20090901</v>
      </c>
      <c r="I176" s="7">
        <v>25</v>
      </c>
      <c r="J176" s="7">
        <v>150</v>
      </c>
      <c r="K176" s="9" t="s">
        <v>112</v>
      </c>
    </row>
    <row r="177" spans="1:11" x14ac:dyDescent="0.25">
      <c r="A177" s="5">
        <v>173</v>
      </c>
      <c r="B177" s="5">
        <v>78</v>
      </c>
      <c r="C177" s="10" t="s">
        <v>343</v>
      </c>
      <c r="D177" s="7" t="s">
        <v>1518</v>
      </c>
      <c r="E177" s="8" t="str">
        <f>T("國學研究-第二十四卷")</f>
        <v>國學研究-第二十四卷</v>
      </c>
      <c r="F177" s="7" t="s">
        <v>1312</v>
      </c>
      <c r="G177" s="7" t="str">
        <f t="shared" si="9"/>
        <v>北京大學</v>
      </c>
      <c r="H177" s="7" t="str">
        <f>T("20091201")</f>
        <v>20091201</v>
      </c>
      <c r="I177" s="7">
        <v>60</v>
      </c>
      <c r="J177" s="7">
        <v>360</v>
      </c>
      <c r="K177" s="9" t="s">
        <v>112</v>
      </c>
    </row>
    <row r="178" spans="1:11" x14ac:dyDescent="0.25">
      <c r="A178" s="5">
        <v>174</v>
      </c>
      <c r="B178" s="5">
        <v>79</v>
      </c>
      <c r="C178" s="10" t="s">
        <v>345</v>
      </c>
      <c r="D178" s="7" t="s">
        <v>1519</v>
      </c>
      <c r="E178" s="8" t="str">
        <f>T("朱熹詩教思想研究")</f>
        <v>朱熹詩教思想研究</v>
      </c>
      <c r="F178" s="7" t="s">
        <v>2762</v>
      </c>
      <c r="G178" s="7" t="str">
        <f t="shared" si="9"/>
        <v>北京大學</v>
      </c>
      <c r="H178" s="7" t="str">
        <f>T("20091101")</f>
        <v>20091101</v>
      </c>
      <c r="I178" s="7">
        <v>26</v>
      </c>
      <c r="J178" s="7">
        <v>156</v>
      </c>
      <c r="K178" s="9" t="s">
        <v>112</v>
      </c>
    </row>
    <row r="179" spans="1:11" x14ac:dyDescent="0.25">
      <c r="A179" s="5">
        <v>175</v>
      </c>
      <c r="B179" s="5">
        <v>80</v>
      </c>
      <c r="C179" s="10" t="s">
        <v>224</v>
      </c>
      <c r="D179" s="7" t="s">
        <v>1520</v>
      </c>
      <c r="E179" s="8" t="str">
        <f>T("唐宋古文新探")</f>
        <v>唐宋古文新探</v>
      </c>
      <c r="F179" s="7" t="s">
        <v>2763</v>
      </c>
      <c r="G179" s="7" t="str">
        <f t="shared" si="9"/>
        <v>北京大學</v>
      </c>
      <c r="H179" s="7" t="str">
        <f>T("20100101")</f>
        <v>20100101</v>
      </c>
      <c r="I179" s="7">
        <v>24</v>
      </c>
      <c r="J179" s="7">
        <v>144</v>
      </c>
      <c r="K179" s="9" t="s">
        <v>112</v>
      </c>
    </row>
    <row r="180" spans="1:11" x14ac:dyDescent="0.25">
      <c r="A180" s="5">
        <v>176</v>
      </c>
      <c r="B180" s="5">
        <v>81</v>
      </c>
      <c r="C180" s="10" t="s">
        <v>227</v>
      </c>
      <c r="D180" s="7" t="s">
        <v>1521</v>
      </c>
      <c r="E180" s="8" t="str">
        <f>T("經典七日談")</f>
        <v>經典七日談</v>
      </c>
      <c r="F180" s="7" t="s">
        <v>2764</v>
      </c>
      <c r="G180" s="7" t="str">
        <f t="shared" si="9"/>
        <v>北京大學</v>
      </c>
      <c r="H180" s="7" t="str">
        <f>T("20100301")</f>
        <v>20100301</v>
      </c>
      <c r="I180" s="7">
        <v>29</v>
      </c>
      <c r="J180" s="7">
        <v>174</v>
      </c>
      <c r="K180" s="9" t="s">
        <v>112</v>
      </c>
    </row>
    <row r="181" spans="1:11" x14ac:dyDescent="0.25">
      <c r="A181" s="5">
        <v>177</v>
      </c>
      <c r="B181" s="5">
        <v>82</v>
      </c>
      <c r="C181" s="10" t="s">
        <v>456</v>
      </c>
      <c r="D181" s="7" t="s">
        <v>1522</v>
      </c>
      <c r="E181" s="8" t="str">
        <f>T("中國古典散文精選注譯．史傳卷")</f>
        <v>中國古典散文精選注譯．史傳卷</v>
      </c>
      <c r="F181" s="7" t="s">
        <v>2711</v>
      </c>
      <c r="G181" s="7" t="str">
        <f>T("清華大學")</f>
        <v>清華大學</v>
      </c>
      <c r="H181" s="7" t="str">
        <f>T("20090801")</f>
        <v>20090801</v>
      </c>
      <c r="I181" s="7">
        <v>27</v>
      </c>
      <c r="J181" s="7">
        <v>162</v>
      </c>
      <c r="K181" s="9" t="s">
        <v>112</v>
      </c>
    </row>
    <row r="182" spans="1:11" x14ac:dyDescent="0.25">
      <c r="A182" s="5">
        <v>178</v>
      </c>
      <c r="B182" s="5">
        <v>83</v>
      </c>
      <c r="C182" s="10" t="s">
        <v>861</v>
      </c>
      <c r="D182" s="7" t="s">
        <v>1523</v>
      </c>
      <c r="E182" s="8" t="str">
        <f>T("解字說文-中國歷史文選研究")</f>
        <v>解字說文-中國歷史文選研究</v>
      </c>
      <c r="F182" s="7" t="s">
        <v>2765</v>
      </c>
      <c r="G182" s="7" t="str">
        <f>T("北京師大")</f>
        <v>北京師大</v>
      </c>
      <c r="H182" s="7" t="str">
        <f>T("20100301")</f>
        <v>20100301</v>
      </c>
      <c r="I182" s="7">
        <v>25</v>
      </c>
      <c r="J182" s="7">
        <v>150</v>
      </c>
      <c r="K182" s="9" t="s">
        <v>112</v>
      </c>
    </row>
    <row r="183" spans="1:11" x14ac:dyDescent="0.25">
      <c r="A183" s="5">
        <v>179</v>
      </c>
      <c r="B183" s="5">
        <v>84</v>
      </c>
      <c r="C183" s="10" t="s">
        <v>582</v>
      </c>
      <c r="D183" s="7" t="s">
        <v>1524</v>
      </c>
      <c r="E183" s="8" t="str">
        <f>T("中國文學與文化的傳統及變革")</f>
        <v>中國文學與文化的傳統及變革</v>
      </c>
      <c r="F183" s="7" t="s">
        <v>2766</v>
      </c>
      <c r="G183" s="7" t="str">
        <f>T("南京大學")</f>
        <v>南京大學</v>
      </c>
      <c r="H183" s="7" t="str">
        <f>T("20081101")</f>
        <v>20081101</v>
      </c>
      <c r="I183" s="7">
        <v>68</v>
      </c>
      <c r="J183" s="7">
        <v>408</v>
      </c>
      <c r="K183" s="9" t="s">
        <v>112</v>
      </c>
    </row>
    <row r="184" spans="1:11" x14ac:dyDescent="0.25">
      <c r="A184" s="5">
        <v>180</v>
      </c>
      <c r="B184" s="5">
        <v>85</v>
      </c>
      <c r="C184" s="10" t="s">
        <v>773</v>
      </c>
      <c r="D184" s="7" t="s">
        <v>1525</v>
      </c>
      <c r="E184" s="8" t="str">
        <f>T("古代百科學術與中國思想的發展")</f>
        <v>古代百科學術與中國思想的發展</v>
      </c>
      <c r="F184" s="7" t="s">
        <v>2767</v>
      </c>
      <c r="G184" s="7" t="str">
        <f>T("南京大學")</f>
        <v>南京大學</v>
      </c>
      <c r="H184" s="7" t="str">
        <f>T("20100401")</f>
        <v>20100401</v>
      </c>
      <c r="I184" s="7">
        <v>63</v>
      </c>
      <c r="J184" s="7">
        <v>378</v>
      </c>
      <c r="K184" s="9" t="s">
        <v>112</v>
      </c>
    </row>
    <row r="185" spans="1:11" x14ac:dyDescent="0.25">
      <c r="A185" s="5">
        <v>181</v>
      </c>
      <c r="B185" s="5">
        <v>86</v>
      </c>
      <c r="C185" s="10" t="s">
        <v>584</v>
      </c>
      <c r="D185" s="7" t="s">
        <v>1526</v>
      </c>
      <c r="E185" s="8" t="str">
        <f>T("中國現代文學的歷史的文化透視")</f>
        <v>中國現代文學的歷史的文化透視</v>
      </c>
      <c r="F185" s="7" t="s">
        <v>2768</v>
      </c>
      <c r="G185" s="7" t="str">
        <f>T("武漢大學")</f>
        <v>武漢大學</v>
      </c>
      <c r="H185" s="7" t="str">
        <f>T("20050401")</f>
        <v>20050401</v>
      </c>
      <c r="I185" s="7">
        <v>18</v>
      </c>
      <c r="J185" s="7">
        <v>108</v>
      </c>
      <c r="K185" s="9" t="s">
        <v>1320</v>
      </c>
    </row>
    <row r="186" spans="1:11" x14ac:dyDescent="0.25">
      <c r="A186" s="5">
        <v>182</v>
      </c>
      <c r="B186" s="5">
        <v>87</v>
      </c>
      <c r="C186" s="10" t="s">
        <v>475</v>
      </c>
      <c r="D186" s="7" t="s">
        <v>1527</v>
      </c>
      <c r="E186" s="8" t="str">
        <f>T("中國文學批評史大綱")</f>
        <v>中國文學批評史大綱</v>
      </c>
      <c r="F186" s="7" t="s">
        <v>2769</v>
      </c>
      <c r="G186" s="7" t="str">
        <f>T("武漢大學")</f>
        <v>武漢大學</v>
      </c>
      <c r="H186" s="7" t="str">
        <f>T("20090501")</f>
        <v>20090501</v>
      </c>
      <c r="I186" s="7">
        <v>68</v>
      </c>
      <c r="J186" s="7">
        <v>408</v>
      </c>
      <c r="K186" s="9" t="s">
        <v>112</v>
      </c>
    </row>
    <row r="187" spans="1:11" x14ac:dyDescent="0.25">
      <c r="A187" s="5">
        <v>183</v>
      </c>
      <c r="B187" s="5">
        <v>88</v>
      </c>
      <c r="C187" s="10" t="s">
        <v>273</v>
      </c>
      <c r="D187" s="7" t="s">
        <v>1528</v>
      </c>
      <c r="E187" s="8" t="str">
        <f>T("先秦文學著述四種")</f>
        <v>先秦文學著述四種</v>
      </c>
      <c r="F187" s="7" t="s">
        <v>2770</v>
      </c>
      <c r="G187" s="7" t="str">
        <f>T("浙江大學")</f>
        <v>浙江大學</v>
      </c>
      <c r="H187" s="7" t="str">
        <f>T("20090801")</f>
        <v>20090801</v>
      </c>
      <c r="I187" s="7">
        <v>62</v>
      </c>
      <c r="J187" s="7">
        <v>372</v>
      </c>
      <c r="K187" s="9" t="s">
        <v>112</v>
      </c>
    </row>
    <row r="188" spans="1:11" x14ac:dyDescent="0.25">
      <c r="A188" s="5">
        <v>184</v>
      </c>
      <c r="B188" s="5">
        <v>89</v>
      </c>
      <c r="C188" s="10" t="s">
        <v>397</v>
      </c>
      <c r="D188" s="7" t="s">
        <v>1529</v>
      </c>
      <c r="E188" s="8" t="str">
        <f>T("史學導論（修訂本）")</f>
        <v>史學導論（修訂本）</v>
      </c>
      <c r="F188" s="7" t="s">
        <v>2771</v>
      </c>
      <c r="G188" s="7" t="str">
        <f>T("復旦大學")</f>
        <v>復旦大學</v>
      </c>
      <c r="H188" s="7" t="str">
        <f>T("20100101")</f>
        <v>20100101</v>
      </c>
      <c r="I188" s="7">
        <v>32</v>
      </c>
      <c r="J188" s="7">
        <v>192</v>
      </c>
      <c r="K188" s="9" t="s">
        <v>112</v>
      </c>
    </row>
    <row r="189" spans="1:11" ht="28.5" x14ac:dyDescent="0.25">
      <c r="A189" s="5">
        <v>185</v>
      </c>
      <c r="B189" s="5">
        <v>90</v>
      </c>
      <c r="C189" s="10" t="s">
        <v>301</v>
      </c>
      <c r="D189" s="7" t="s">
        <v>1530</v>
      </c>
      <c r="E189" s="8" t="str">
        <f>T("浮出歷史地表之前-中國現代女性寫作的發生")</f>
        <v>浮出歷史地表之前-中國現代女性寫作的發生</v>
      </c>
      <c r="F189" s="7" t="s">
        <v>2772</v>
      </c>
      <c r="G189" s="7" t="str">
        <f>T("南開大學")</f>
        <v>南開大學</v>
      </c>
      <c r="H189" s="7" t="str">
        <f>T("20100501")</f>
        <v>20100501</v>
      </c>
      <c r="I189" s="7">
        <v>38</v>
      </c>
      <c r="J189" s="7">
        <v>228</v>
      </c>
      <c r="K189" s="9" t="s">
        <v>112</v>
      </c>
    </row>
    <row r="190" spans="1:11" ht="28.5" x14ac:dyDescent="0.25">
      <c r="A190" s="5">
        <v>186</v>
      </c>
      <c r="B190" s="5">
        <v>91</v>
      </c>
      <c r="C190" s="10" t="s">
        <v>142</v>
      </c>
      <c r="D190" s="7" t="s">
        <v>1531</v>
      </c>
      <c r="E190" s="8" t="str">
        <f>T("長江史話(中華文明史話 彩圖譜)中英雙語版")</f>
        <v>長江史話(中華文明史話 彩圖譜)中英雙語版</v>
      </c>
      <c r="F190" s="7" t="s">
        <v>2773</v>
      </c>
      <c r="G190" s="7" t="str">
        <f>T("中國大百科")</f>
        <v>中國大百科</v>
      </c>
      <c r="H190" s="7" t="str">
        <f>T("")</f>
        <v/>
      </c>
      <c r="I190" s="7">
        <v>28</v>
      </c>
      <c r="J190" s="7">
        <v>168</v>
      </c>
      <c r="K190" s="9" t="s">
        <v>1320</v>
      </c>
    </row>
    <row r="191" spans="1:11" ht="28.5" x14ac:dyDescent="0.25">
      <c r="A191" s="5">
        <v>187</v>
      </c>
      <c r="B191" s="5">
        <v>92</v>
      </c>
      <c r="C191" s="10" t="s">
        <v>543</v>
      </c>
      <c r="D191" s="7" t="s">
        <v>1532</v>
      </c>
      <c r="E191" s="8" t="str">
        <f>T("《資治通鑑》十六國資料釋證：漢趙、後趙、前燕國部分")</f>
        <v>《資治通鑑》十六國資料釋證：漢趙、後趙、前燕國部分</v>
      </c>
      <c r="F191" s="7" t="s">
        <v>2774</v>
      </c>
      <c r="G191" s="7" t="str">
        <f>T("中國社科")</f>
        <v>中國社科</v>
      </c>
      <c r="H191" s="7" t="str">
        <f>T("20100201")</f>
        <v>20100201</v>
      </c>
      <c r="I191" s="7">
        <v>45</v>
      </c>
      <c r="J191" s="7">
        <v>270</v>
      </c>
      <c r="K191" s="9" t="s">
        <v>112</v>
      </c>
    </row>
    <row r="192" spans="1:11" x14ac:dyDescent="0.25">
      <c r="A192" s="5">
        <v>188</v>
      </c>
      <c r="B192" s="5">
        <v>93</v>
      </c>
      <c r="C192" s="10" t="s">
        <v>544</v>
      </c>
      <c r="D192" s="7" t="s">
        <v>1533</v>
      </c>
      <c r="E192" s="8" t="str">
        <f>T("總結歷史  開闢未來　")</f>
        <v>總結歷史  開闢未來　</v>
      </c>
      <c r="F192" s="7" t="s">
        <v>2775</v>
      </c>
      <c r="G192" s="7" t="str">
        <f>T("中國社科")</f>
        <v>中國社科</v>
      </c>
      <c r="H192" s="7" t="str">
        <f>T("20091001")</f>
        <v>20091001</v>
      </c>
      <c r="I192" s="7">
        <v>55</v>
      </c>
      <c r="J192" s="7">
        <v>330</v>
      </c>
      <c r="K192" s="9" t="s">
        <v>112</v>
      </c>
    </row>
    <row r="193" spans="1:11" x14ac:dyDescent="0.25">
      <c r="A193" s="5">
        <v>189</v>
      </c>
      <c r="B193" s="5">
        <v>94</v>
      </c>
      <c r="C193" s="10" t="s">
        <v>547</v>
      </c>
      <c r="D193" s="7" t="s">
        <v>1534</v>
      </c>
      <c r="E193" s="8" t="str">
        <f>T("《漢書》單音節形容詞同義關係研究")</f>
        <v>《漢書》單音節形容詞同義關係研究</v>
      </c>
      <c r="F193" s="7" t="s">
        <v>2776</v>
      </c>
      <c r="G193" s="7" t="str">
        <f>T("中國社科")</f>
        <v>中國社科</v>
      </c>
      <c r="H193" s="7" t="str">
        <f>T("20100301")</f>
        <v>20100301</v>
      </c>
      <c r="I193" s="7">
        <v>38</v>
      </c>
      <c r="J193" s="7">
        <v>228</v>
      </c>
      <c r="K193" s="9" t="s">
        <v>112</v>
      </c>
    </row>
    <row r="194" spans="1:11" x14ac:dyDescent="0.25">
      <c r="A194" s="5">
        <v>190</v>
      </c>
      <c r="B194" s="5">
        <v>95</v>
      </c>
      <c r="C194" s="10" t="s">
        <v>548</v>
      </c>
      <c r="D194" s="7" t="s">
        <v>1535</v>
      </c>
      <c r="E194" s="8" t="str">
        <f>T("宋元講史話本研究")</f>
        <v>宋元講史話本研究</v>
      </c>
      <c r="F194" s="7" t="s">
        <v>2777</v>
      </c>
      <c r="G194" s="7" t="str">
        <f>T("社會科學")</f>
        <v>社會科學</v>
      </c>
      <c r="H194" s="7" t="str">
        <f>T("20100501")</f>
        <v>20100501</v>
      </c>
      <c r="I194" s="7">
        <v>27</v>
      </c>
      <c r="J194" s="7">
        <v>162</v>
      </c>
      <c r="K194" s="9" t="s">
        <v>112</v>
      </c>
    </row>
    <row r="195" spans="1:11" x14ac:dyDescent="0.25">
      <c r="A195" s="5">
        <v>191</v>
      </c>
      <c r="B195" s="5">
        <v>96</v>
      </c>
      <c r="C195" s="10" t="s">
        <v>549</v>
      </c>
      <c r="D195" s="7" t="s">
        <v>1536</v>
      </c>
      <c r="E195" s="8" t="str">
        <f>T("中唐文論研究")</f>
        <v>中唐文論研究</v>
      </c>
      <c r="F195" s="7" t="s">
        <v>2778</v>
      </c>
      <c r="G195" s="7" t="str">
        <f>T("中國社科")</f>
        <v>中國社科</v>
      </c>
      <c r="H195" s="7" t="str">
        <f>T("20100601")</f>
        <v>20100601</v>
      </c>
      <c r="I195" s="7">
        <v>36</v>
      </c>
      <c r="J195" s="7">
        <v>216</v>
      </c>
      <c r="K195" s="9" t="s">
        <v>112</v>
      </c>
    </row>
    <row r="196" spans="1:11" x14ac:dyDescent="0.25">
      <c r="A196" s="5">
        <v>192</v>
      </c>
      <c r="B196" s="5">
        <v>97</v>
      </c>
      <c r="C196" s="10" t="s">
        <v>338</v>
      </c>
      <c r="D196" s="7" t="s">
        <v>1537</v>
      </c>
      <c r="E196" s="8" t="str">
        <f>T("中國主流文化的戰略導向：明代個案研究")</f>
        <v>中國主流文化的戰略導向：明代個案研究</v>
      </c>
      <c r="F196" s="7" t="s">
        <v>2721</v>
      </c>
      <c r="G196" s="7" t="str">
        <f>T("世界知識")</f>
        <v>世界知識</v>
      </c>
      <c r="H196" s="7" t="str">
        <f>T("20110501")</f>
        <v>20110501</v>
      </c>
      <c r="I196" s="7">
        <v>28</v>
      </c>
      <c r="J196" s="7">
        <v>168</v>
      </c>
      <c r="K196" s="9" t="s">
        <v>1320</v>
      </c>
    </row>
    <row r="197" spans="1:11" x14ac:dyDescent="0.25">
      <c r="A197" s="5">
        <v>193</v>
      </c>
      <c r="B197" s="5">
        <v>98</v>
      </c>
      <c r="C197" s="10" t="s">
        <v>340</v>
      </c>
      <c r="D197" s="7" t="s">
        <v>1538</v>
      </c>
      <c r="E197" s="8" t="str">
        <f>T("稿本晉會要")</f>
        <v>稿本晉會要</v>
      </c>
      <c r="F197" s="7" t="s">
        <v>2779</v>
      </c>
      <c r="G197" s="7" t="str">
        <f t="shared" ref="G197:G207" si="10">T("北京圖書館")</f>
        <v>北京圖書館</v>
      </c>
      <c r="H197" s="7" t="str">
        <f>T("20090401")</f>
        <v>20090401</v>
      </c>
      <c r="I197" s="7">
        <v>290</v>
      </c>
      <c r="J197" s="7">
        <v>1740</v>
      </c>
      <c r="K197" s="9" t="s">
        <v>112</v>
      </c>
    </row>
    <row r="198" spans="1:11" x14ac:dyDescent="0.25">
      <c r="A198" s="5">
        <v>194</v>
      </c>
      <c r="B198" s="5">
        <v>99</v>
      </c>
      <c r="C198" s="10" t="s">
        <v>87</v>
      </c>
      <c r="D198" s="7" t="s">
        <v>1539</v>
      </c>
      <c r="E198" s="8" t="str">
        <f>T("中國少年兒童文獻分類主題詞表（兩冊）")</f>
        <v>中國少年兒童文獻分類主題詞表（兩冊）</v>
      </c>
      <c r="F198" s="7" t="s">
        <v>2616</v>
      </c>
      <c r="G198" s="7" t="str">
        <f t="shared" si="10"/>
        <v>北京圖書館</v>
      </c>
      <c r="H198" s="7" t="str">
        <f>T("20040301")</f>
        <v>20040301</v>
      </c>
      <c r="I198" s="7">
        <v>380</v>
      </c>
      <c r="J198" s="7">
        <v>2280</v>
      </c>
      <c r="K198" s="9" t="s">
        <v>112</v>
      </c>
    </row>
    <row r="199" spans="1:11" x14ac:dyDescent="0.25">
      <c r="A199" s="5">
        <v>195</v>
      </c>
      <c r="B199" s="5">
        <v>100</v>
      </c>
      <c r="C199" s="10" t="s">
        <v>88</v>
      </c>
      <c r="D199" s="7" t="s">
        <v>1540</v>
      </c>
      <c r="E199" s="8" t="str">
        <f>T("非書資料採訪工作手冊")</f>
        <v>非書資料採訪工作手冊</v>
      </c>
      <c r="F199" s="7" t="s">
        <v>2780</v>
      </c>
      <c r="G199" s="7" t="str">
        <f t="shared" si="10"/>
        <v>北京圖書館</v>
      </c>
      <c r="H199" s="7" t="str">
        <f>T("20040401")</f>
        <v>20040401</v>
      </c>
      <c r="I199" s="7">
        <v>30</v>
      </c>
      <c r="J199" s="7">
        <v>180</v>
      </c>
      <c r="K199" s="9" t="s">
        <v>1320</v>
      </c>
    </row>
    <row r="200" spans="1:11" x14ac:dyDescent="0.25">
      <c r="A200" s="5">
        <v>196</v>
      </c>
      <c r="B200" s="5">
        <v>101</v>
      </c>
      <c r="C200" s="10" t="s">
        <v>90</v>
      </c>
      <c r="D200" s="7" t="s">
        <v>1541</v>
      </c>
      <c r="E200" s="8" t="str">
        <f>T("版權制度下的數位資訊公共傳播")</f>
        <v>版權制度下的數位資訊公共傳播</v>
      </c>
      <c r="F200" s="7" t="s">
        <v>2781</v>
      </c>
      <c r="G200" s="7" t="str">
        <f t="shared" si="10"/>
        <v>北京圖書館</v>
      </c>
      <c r="H200" s="7" t="str">
        <f>T("20050101")</f>
        <v>20050101</v>
      </c>
      <c r="I200" s="7">
        <v>25</v>
      </c>
      <c r="J200" s="7">
        <v>150</v>
      </c>
      <c r="K200" s="9" t="s">
        <v>112</v>
      </c>
    </row>
    <row r="201" spans="1:11" x14ac:dyDescent="0.25">
      <c r="A201" s="5">
        <v>197</v>
      </c>
      <c r="B201" s="5">
        <v>102</v>
      </c>
      <c r="C201" s="10" t="s">
        <v>91</v>
      </c>
      <c r="D201" s="7" t="s">
        <v>1542</v>
      </c>
      <c r="E201" s="8" t="str">
        <f>T("資源數位化標準問題研究")</f>
        <v>資源數位化標準問題研究</v>
      </c>
      <c r="F201" s="7" t="s">
        <v>2782</v>
      </c>
      <c r="G201" s="7" t="str">
        <f t="shared" si="10"/>
        <v>北京圖書館</v>
      </c>
      <c r="H201" s="7" t="str">
        <f>T("20050101")</f>
        <v>20050101</v>
      </c>
      <c r="I201" s="7">
        <v>25</v>
      </c>
      <c r="J201" s="7">
        <v>150</v>
      </c>
      <c r="K201" s="9" t="s">
        <v>112</v>
      </c>
    </row>
    <row r="202" spans="1:11" x14ac:dyDescent="0.25">
      <c r="A202" s="5">
        <v>198</v>
      </c>
      <c r="B202" s="5">
        <v>103</v>
      </c>
      <c r="C202" s="10" t="s">
        <v>347</v>
      </c>
      <c r="D202" s="7" t="s">
        <v>1543</v>
      </c>
      <c r="E202" s="8" t="str">
        <f>T("MARC 21規範資料格式使用手冊")</f>
        <v>MARC 21規範資料格式使用手冊</v>
      </c>
      <c r="F202" s="7" t="s">
        <v>2616</v>
      </c>
      <c r="G202" s="7" t="str">
        <f t="shared" si="10"/>
        <v>北京圖書館</v>
      </c>
      <c r="H202" s="7" t="str">
        <f>T("20050901")</f>
        <v>20050901</v>
      </c>
      <c r="I202" s="7">
        <v>90</v>
      </c>
      <c r="J202" s="7">
        <v>540</v>
      </c>
      <c r="K202" s="9" t="s">
        <v>1320</v>
      </c>
    </row>
    <row r="203" spans="1:11" x14ac:dyDescent="0.25">
      <c r="A203" s="5">
        <v>199</v>
      </c>
      <c r="B203" s="5">
        <v>104</v>
      </c>
      <c r="C203" s="10" t="s">
        <v>350</v>
      </c>
      <c r="D203" s="7" t="s">
        <v>1544</v>
      </c>
      <c r="E203" s="8" t="str">
        <f>T("以人為本  服務創新")</f>
        <v>以人為本  服務創新</v>
      </c>
      <c r="F203" s="7"/>
      <c r="G203" s="7" t="str">
        <f t="shared" si="10"/>
        <v>北京圖書館</v>
      </c>
      <c r="H203" s="7" t="str">
        <f>T("20050701")</f>
        <v>20050701</v>
      </c>
      <c r="I203" s="7">
        <v>70</v>
      </c>
      <c r="J203" s="7">
        <v>420</v>
      </c>
      <c r="K203" s="9" t="s">
        <v>1320</v>
      </c>
    </row>
    <row r="204" spans="1:11" x14ac:dyDescent="0.25">
      <c r="A204" s="5">
        <v>200</v>
      </c>
      <c r="B204" s="5">
        <v>105</v>
      </c>
      <c r="C204" s="10" t="s">
        <v>457</v>
      </c>
      <c r="D204" s="7" t="s">
        <v>1545</v>
      </c>
      <c r="E204" s="8" t="str">
        <f>T("縮微文獻著錄及機讀數據製作手冊")</f>
        <v>縮微文獻著錄及機讀數據製作手冊</v>
      </c>
      <c r="F204" s="7" t="s">
        <v>2783</v>
      </c>
      <c r="G204" s="7" t="str">
        <f t="shared" si="10"/>
        <v>北京圖書館</v>
      </c>
      <c r="H204" s="7" t="str">
        <f>T("20060701")</f>
        <v>20060701</v>
      </c>
      <c r="I204" s="7">
        <v>60</v>
      </c>
      <c r="J204" s="7">
        <v>360</v>
      </c>
      <c r="K204" s="9" t="s">
        <v>1320</v>
      </c>
    </row>
    <row r="205" spans="1:11" ht="28.5" x14ac:dyDescent="0.25">
      <c r="A205" s="5">
        <v>201</v>
      </c>
      <c r="B205" s="5">
        <v>106</v>
      </c>
      <c r="C205" s="10" t="s">
        <v>458</v>
      </c>
      <c r="D205" s="7" t="s">
        <v>1546</v>
      </c>
      <c r="E205" s="8" t="str">
        <f>T("21世紀的資訊資源編目第一屆全國文獻編目工作研討會論文集")</f>
        <v>21世紀的資訊資源編目第一屆全國文獻編目工作研討會論文集</v>
      </c>
      <c r="F205" s="7" t="s">
        <v>2616</v>
      </c>
      <c r="G205" s="7" t="str">
        <f t="shared" si="10"/>
        <v>北京圖書館</v>
      </c>
      <c r="H205" s="7" t="str">
        <f>T("20060801")</f>
        <v>20060801</v>
      </c>
      <c r="I205" s="7">
        <v>55</v>
      </c>
      <c r="J205" s="7">
        <v>330</v>
      </c>
      <c r="K205" s="9" t="s">
        <v>1320</v>
      </c>
    </row>
    <row r="206" spans="1:11" ht="28.5" x14ac:dyDescent="0.25">
      <c r="A206" s="5">
        <v>202</v>
      </c>
      <c r="B206" s="5">
        <v>107</v>
      </c>
      <c r="C206" s="10" t="s">
        <v>459</v>
      </c>
      <c r="D206" s="7" t="s">
        <v>1547</v>
      </c>
      <c r="E206" s="8" t="str">
        <f>T("e印本文庫(e-print archive)建設與應用:開放存取運動典型策略研")</f>
        <v>e印本文庫(e-print archive)建設與應用:開放存取運動典型策略研</v>
      </c>
      <c r="F206" s="7" t="s">
        <v>2784</v>
      </c>
      <c r="G206" s="7" t="str">
        <f t="shared" si="10"/>
        <v>北京圖書館</v>
      </c>
      <c r="H206" s="7" t="str">
        <f>T("20061101")</f>
        <v>20061101</v>
      </c>
      <c r="I206" s="7">
        <v>28</v>
      </c>
      <c r="J206" s="7">
        <v>168</v>
      </c>
      <c r="K206" s="9" t="s">
        <v>1320</v>
      </c>
    </row>
    <row r="207" spans="1:11" x14ac:dyDescent="0.25">
      <c r="A207" s="5">
        <v>203</v>
      </c>
      <c r="B207" s="5">
        <v>108</v>
      </c>
      <c r="C207" s="10" t="s">
        <v>866</v>
      </c>
      <c r="D207" s="7" t="s">
        <v>1548</v>
      </c>
      <c r="E207" s="8" t="str">
        <f>T("八千卷樓書目(上中下)")</f>
        <v>八千卷樓書目(上中下)</v>
      </c>
      <c r="F207" s="7" t="s">
        <v>2785</v>
      </c>
      <c r="G207" s="7" t="str">
        <f t="shared" si="10"/>
        <v>北京圖書館</v>
      </c>
      <c r="H207" s="7" t="str">
        <f>T("20081201")</f>
        <v>20081201</v>
      </c>
      <c r="I207" s="7">
        <v>540</v>
      </c>
      <c r="J207" s="7">
        <v>3240</v>
      </c>
      <c r="K207" s="9" t="s">
        <v>112</v>
      </c>
    </row>
    <row r="208" spans="1:11" x14ac:dyDescent="0.25">
      <c r="A208" s="5">
        <v>204</v>
      </c>
      <c r="B208" s="5">
        <v>109</v>
      </c>
      <c r="C208" s="10" t="s">
        <v>867</v>
      </c>
      <c r="D208" s="7" t="s">
        <v>1549</v>
      </c>
      <c r="E208" s="8" t="str">
        <f>T("先秦經籍考（全二冊）")</f>
        <v>先秦經籍考（全二冊）</v>
      </c>
      <c r="F208" s="7" t="s">
        <v>2619</v>
      </c>
      <c r="G208" s="7" t="str">
        <f>T("國家圖書館")</f>
        <v>國家圖書館</v>
      </c>
      <c r="H208" s="7" t="str">
        <f>T("20100301")</f>
        <v>20100301</v>
      </c>
      <c r="I208" s="7">
        <v>560</v>
      </c>
      <c r="J208" s="7">
        <v>3360</v>
      </c>
      <c r="K208" s="9" t="s">
        <v>112</v>
      </c>
    </row>
    <row r="209" spans="1:11" x14ac:dyDescent="0.25">
      <c r="A209" s="5">
        <v>205</v>
      </c>
      <c r="B209" s="5">
        <v>110</v>
      </c>
      <c r="C209" s="10" t="s">
        <v>754</v>
      </c>
      <c r="D209" s="7" t="s">
        <v>1550</v>
      </c>
      <c r="E209" s="8" t="str">
        <f>T("文化視野下的古代文學研究")</f>
        <v>文化視野下的古代文學研究</v>
      </c>
      <c r="F209" s="7" t="s">
        <v>2786</v>
      </c>
      <c r="G209" s="7" t="str">
        <f>T("北京圖書館")</f>
        <v>北京圖書館</v>
      </c>
      <c r="H209" s="7" t="str">
        <f>T("20091001")</f>
        <v>20091001</v>
      </c>
      <c r="I209" s="7">
        <v>28</v>
      </c>
      <c r="J209" s="7">
        <v>168</v>
      </c>
      <c r="K209" s="9" t="s">
        <v>112</v>
      </c>
    </row>
    <row r="210" spans="1:11" x14ac:dyDescent="0.25">
      <c r="A210" s="5">
        <v>206</v>
      </c>
      <c r="B210" s="5">
        <v>111</v>
      </c>
      <c r="C210" s="10" t="s">
        <v>756</v>
      </c>
      <c r="D210" s="7" t="s">
        <v>1551</v>
      </c>
      <c r="E210" s="8" t="str">
        <f>T("山西師範大學圖書館古籍善本書目")</f>
        <v>山西師範大學圖書館古籍善本書目</v>
      </c>
      <c r="F210" s="7" t="s">
        <v>2787</v>
      </c>
      <c r="G210" s="7" t="str">
        <f>T("國圖")</f>
        <v>國圖</v>
      </c>
      <c r="H210" s="7" t="str">
        <f>T("20110601")</f>
        <v>20110601</v>
      </c>
      <c r="I210" s="7">
        <v>160</v>
      </c>
      <c r="J210" s="7">
        <v>960</v>
      </c>
      <c r="K210" s="9" t="s">
        <v>112</v>
      </c>
    </row>
    <row r="211" spans="1:11" ht="28.5" x14ac:dyDescent="0.25">
      <c r="A211" s="5">
        <v>207</v>
      </c>
      <c r="B211" s="5">
        <v>112</v>
      </c>
      <c r="C211" s="10" t="s">
        <v>41</v>
      </c>
      <c r="D211" s="7" t="s">
        <v>1552</v>
      </c>
      <c r="E211" s="8" t="str">
        <f>T("中國遠古管理思想史-傳說時期管理思想的萌芽")</f>
        <v>中國遠古管理思想史-傳說時期管理思想的萌芽</v>
      </c>
      <c r="F211" s="7" t="s">
        <v>2788</v>
      </c>
      <c r="G211" s="7" t="str">
        <f>T("經濟科學")</f>
        <v>經濟科學</v>
      </c>
      <c r="H211" s="7" t="str">
        <f>T("20100301")</f>
        <v>20100301</v>
      </c>
      <c r="I211" s="7">
        <v>27</v>
      </c>
      <c r="J211" s="7">
        <v>162</v>
      </c>
      <c r="K211" s="9" t="s">
        <v>112</v>
      </c>
    </row>
    <row r="212" spans="1:11" ht="28.5" x14ac:dyDescent="0.25">
      <c r="A212" s="5">
        <v>208</v>
      </c>
      <c r="B212" s="5">
        <v>113</v>
      </c>
      <c r="C212" s="10" t="s">
        <v>42</v>
      </c>
      <c r="D212" s="7" t="s">
        <v>1553</v>
      </c>
      <c r="E212" s="8" t="str">
        <f>T("宋元明清時期管理思想的承接-中國近古管理思想史")</f>
        <v>宋元明清時期管理思想的承接-中國近古管理思想史</v>
      </c>
      <c r="F212" s="7" t="s">
        <v>2789</v>
      </c>
      <c r="G212" s="7" t="str">
        <f>T("經濟科學")</f>
        <v>經濟科學</v>
      </c>
      <c r="H212" s="7" t="str">
        <f>T("20100301")</f>
        <v>20100301</v>
      </c>
      <c r="I212" s="7">
        <v>30</v>
      </c>
      <c r="J212" s="7">
        <v>180</v>
      </c>
      <c r="K212" s="9" t="s">
        <v>112</v>
      </c>
    </row>
    <row r="213" spans="1:11" x14ac:dyDescent="0.25">
      <c r="A213" s="5">
        <v>209</v>
      </c>
      <c r="B213" s="5">
        <v>114</v>
      </c>
      <c r="C213" s="10" t="s">
        <v>222</v>
      </c>
      <c r="D213" s="7" t="s">
        <v>1554</v>
      </c>
      <c r="E213" s="8" t="str">
        <f>T("國學大講堂·墨子導讀")</f>
        <v>國學大講堂·墨子導讀</v>
      </c>
      <c r="F213" s="7" t="s">
        <v>2790</v>
      </c>
      <c r="G213" s="7" t="str">
        <f t="shared" ref="G213:G219" si="11">T("國際廣播")</f>
        <v>國際廣播</v>
      </c>
      <c r="H213" s="7" t="str">
        <f>T("20080101")</f>
        <v>20080101</v>
      </c>
      <c r="I213" s="7">
        <v>36</v>
      </c>
      <c r="J213" s="7">
        <v>216</v>
      </c>
      <c r="K213" s="9" t="s">
        <v>112</v>
      </c>
    </row>
    <row r="214" spans="1:11" x14ac:dyDescent="0.25">
      <c r="A214" s="5">
        <v>210</v>
      </c>
      <c r="B214" s="5">
        <v>115</v>
      </c>
      <c r="C214" s="10" t="s">
        <v>69</v>
      </c>
      <c r="D214" s="7" t="s">
        <v>1555</v>
      </c>
      <c r="E214" s="8" t="str">
        <f>T("國學大講堂(二)—日知錄導讀")</f>
        <v>國學大講堂(二)—日知錄導讀</v>
      </c>
      <c r="F214" s="7" t="s">
        <v>2791</v>
      </c>
      <c r="G214" s="7" t="str">
        <f t="shared" si="11"/>
        <v>國際廣播</v>
      </c>
      <c r="H214" s="7" t="str">
        <f>T("20080501")</f>
        <v>20080501</v>
      </c>
      <c r="I214" s="7">
        <v>30</v>
      </c>
      <c r="J214" s="7">
        <v>180</v>
      </c>
      <c r="K214" s="9" t="s">
        <v>1320</v>
      </c>
    </row>
    <row r="215" spans="1:11" x14ac:dyDescent="0.25">
      <c r="A215" s="5">
        <v>211</v>
      </c>
      <c r="B215" s="5">
        <v>116</v>
      </c>
      <c r="C215" s="10" t="s">
        <v>70</v>
      </c>
      <c r="D215" s="7" t="s">
        <v>1556</v>
      </c>
      <c r="E215" s="8" t="str">
        <f>T("國學大講堂(二)—朱熹集導讀")</f>
        <v>國學大講堂(二)—朱熹集導讀</v>
      </c>
      <c r="F215" s="7" t="s">
        <v>2792</v>
      </c>
      <c r="G215" s="7" t="str">
        <f t="shared" si="11"/>
        <v>國際廣播</v>
      </c>
      <c r="H215" s="7" t="str">
        <f>T("20080501")</f>
        <v>20080501</v>
      </c>
      <c r="I215" s="7">
        <v>35</v>
      </c>
      <c r="J215" s="7">
        <v>210</v>
      </c>
      <c r="K215" s="9" t="s">
        <v>1320</v>
      </c>
    </row>
    <row r="216" spans="1:11" x14ac:dyDescent="0.25">
      <c r="A216" s="5">
        <v>212</v>
      </c>
      <c r="B216" s="5">
        <v>117</v>
      </c>
      <c r="C216" s="10" t="s">
        <v>0</v>
      </c>
      <c r="D216" s="7" t="s">
        <v>1557</v>
      </c>
      <c r="E216" s="8" t="str">
        <f>T("國學大講堂·韓愈文集導讀")</f>
        <v>國學大講堂·韓愈文集導讀</v>
      </c>
      <c r="F216" s="7" t="s">
        <v>2793</v>
      </c>
      <c r="G216" s="7" t="str">
        <f t="shared" si="11"/>
        <v>國際廣播</v>
      </c>
      <c r="H216" s="7" t="str">
        <f>T("20090101")</f>
        <v>20090101</v>
      </c>
      <c r="I216" s="7">
        <v>30</v>
      </c>
      <c r="J216" s="7">
        <v>180</v>
      </c>
      <c r="K216" s="9" t="s">
        <v>1320</v>
      </c>
    </row>
    <row r="217" spans="1:11" x14ac:dyDescent="0.25">
      <c r="A217" s="5">
        <v>213</v>
      </c>
      <c r="B217" s="5">
        <v>118</v>
      </c>
      <c r="C217" s="10" t="s">
        <v>93</v>
      </c>
      <c r="D217" s="7" t="s">
        <v>1558</v>
      </c>
      <c r="E217" s="8" t="str">
        <f>T("國學大講堂·韓非子導讀")</f>
        <v>國學大講堂·韓非子導讀</v>
      </c>
      <c r="F217" s="7" t="s">
        <v>2794</v>
      </c>
      <c r="G217" s="7" t="str">
        <f t="shared" si="11"/>
        <v>國際廣播</v>
      </c>
      <c r="H217" s="7" t="str">
        <f>T("20090101")</f>
        <v>20090101</v>
      </c>
      <c r="I217" s="7">
        <v>32</v>
      </c>
      <c r="J217" s="7">
        <v>192</v>
      </c>
      <c r="K217" s="9" t="s">
        <v>1320</v>
      </c>
    </row>
    <row r="218" spans="1:11" x14ac:dyDescent="0.25">
      <c r="A218" s="5">
        <v>214</v>
      </c>
      <c r="B218" s="5">
        <v>119</v>
      </c>
      <c r="C218" s="10" t="s">
        <v>94</v>
      </c>
      <c r="D218" s="7" t="s">
        <v>1559</v>
      </c>
      <c r="E218" s="8" t="str">
        <f>T("國學大講堂·商君書導讀")</f>
        <v>國學大講堂·商君書導讀</v>
      </c>
      <c r="F218" s="7" t="s">
        <v>2794</v>
      </c>
      <c r="G218" s="7" t="str">
        <f t="shared" si="11"/>
        <v>國際廣播</v>
      </c>
      <c r="H218" s="7" t="str">
        <f>T("20090101")</f>
        <v>20090101</v>
      </c>
      <c r="I218" s="7">
        <v>32</v>
      </c>
      <c r="J218" s="7">
        <v>192</v>
      </c>
      <c r="K218" s="9" t="s">
        <v>1320</v>
      </c>
    </row>
    <row r="219" spans="1:11" x14ac:dyDescent="0.25">
      <c r="A219" s="5">
        <v>215</v>
      </c>
      <c r="B219" s="5">
        <v>120</v>
      </c>
      <c r="C219" s="10" t="s">
        <v>140</v>
      </c>
      <c r="D219" s="7" t="s">
        <v>1560</v>
      </c>
      <c r="E219" s="8" t="str">
        <f>T("國學經典導讀：日知錄")</f>
        <v>國學經典導讀：日知錄</v>
      </c>
      <c r="F219" s="7" t="s">
        <v>2619</v>
      </c>
      <c r="G219" s="7" t="str">
        <f t="shared" si="11"/>
        <v>國際廣播</v>
      </c>
      <c r="H219" s="7" t="str">
        <f>T("20110101")</f>
        <v>20110101</v>
      </c>
      <c r="I219" s="7">
        <v>42</v>
      </c>
      <c r="J219" s="7">
        <v>252</v>
      </c>
      <c r="K219" s="9" t="s">
        <v>112</v>
      </c>
    </row>
    <row r="220" spans="1:11" x14ac:dyDescent="0.25">
      <c r="A220" s="5">
        <v>216</v>
      </c>
      <c r="B220" s="5">
        <v>121</v>
      </c>
      <c r="C220" s="10" t="s">
        <v>265</v>
      </c>
      <c r="D220" s="7" t="s">
        <v>1561</v>
      </c>
      <c r="E220" s="8" t="str">
        <f>T("中國古代傳記")</f>
        <v>中國古代傳記</v>
      </c>
      <c r="F220" s="7" t="s">
        <v>2795</v>
      </c>
      <c r="G220" s="7" t="str">
        <f>T("中國社會")</f>
        <v>中國社會</v>
      </c>
      <c r="H220" s="7" t="str">
        <f>T("")</f>
        <v/>
      </c>
      <c r="I220" s="7">
        <v>26</v>
      </c>
      <c r="J220" s="7">
        <v>156</v>
      </c>
      <c r="K220" s="9" t="s">
        <v>112</v>
      </c>
    </row>
    <row r="221" spans="1:11" x14ac:dyDescent="0.25">
      <c r="A221" s="5">
        <v>217</v>
      </c>
      <c r="B221" s="5">
        <v>122</v>
      </c>
      <c r="C221" s="10" t="s">
        <v>148</v>
      </c>
      <c r="D221" s="7" t="s">
        <v>1562</v>
      </c>
      <c r="E221" s="8" t="str">
        <f>T("中國多文字時代的歷史文獻研究")</f>
        <v>中國多文字時代的歷史文獻研究</v>
      </c>
      <c r="F221" s="7" t="s">
        <v>2796</v>
      </c>
      <c r="G221" s="7" t="str">
        <f>T("社科文獻")</f>
        <v>社科文獻</v>
      </c>
      <c r="H221" s="7" t="str">
        <f>T("20100501")</f>
        <v>20100501</v>
      </c>
      <c r="I221" s="7">
        <v>79</v>
      </c>
      <c r="J221" s="7">
        <v>474</v>
      </c>
      <c r="K221" s="9" t="s">
        <v>112</v>
      </c>
    </row>
    <row r="222" spans="1:11" x14ac:dyDescent="0.25">
      <c r="A222" s="5">
        <v>218</v>
      </c>
      <c r="B222" s="5">
        <v>123</v>
      </c>
      <c r="C222" s="10" t="s">
        <v>36</v>
      </c>
      <c r="D222" s="7" t="s">
        <v>1563</v>
      </c>
      <c r="E222" s="8" t="str">
        <f>T("邊緣遊走:中國現代文學分析")</f>
        <v>邊緣遊走:中國現代文學分析</v>
      </c>
      <c r="F222" s="7" t="s">
        <v>2797</v>
      </c>
      <c r="G222" s="7" t="str">
        <f>T("中央編譯")</f>
        <v>中央編譯</v>
      </c>
      <c r="H222" s="7" t="str">
        <f>T("20100601")</f>
        <v>20100601</v>
      </c>
      <c r="I222" s="7">
        <v>38</v>
      </c>
      <c r="J222" s="7">
        <v>228</v>
      </c>
      <c r="K222" s="9" t="s">
        <v>112</v>
      </c>
    </row>
    <row r="223" spans="1:11" x14ac:dyDescent="0.25">
      <c r="A223" s="5">
        <v>219</v>
      </c>
      <c r="B223" s="5">
        <v>124</v>
      </c>
      <c r="C223" s="10" t="s">
        <v>2</v>
      </c>
      <c r="D223" s="7" t="s">
        <v>1564</v>
      </c>
      <c r="E223" s="8" t="str">
        <f>T("山長水闊知何處")</f>
        <v>山長水闊知何處</v>
      </c>
      <c r="F223" s="7" t="s">
        <v>2798</v>
      </c>
      <c r="G223" s="7" t="str">
        <f>T("上海文藝")</f>
        <v>上海文藝</v>
      </c>
      <c r="H223" s="7" t="str">
        <f>T("20070301")</f>
        <v>20070301</v>
      </c>
      <c r="I223" s="7">
        <v>25</v>
      </c>
      <c r="J223" s="7">
        <v>150</v>
      </c>
      <c r="K223" s="9" t="s">
        <v>1320</v>
      </c>
    </row>
    <row r="224" spans="1:11" x14ac:dyDescent="0.25">
      <c r="A224" s="5">
        <v>220</v>
      </c>
      <c r="B224" s="5">
        <v>125</v>
      </c>
      <c r="C224" s="10" t="s">
        <v>119</v>
      </c>
      <c r="D224" s="7" t="s">
        <v>1565</v>
      </c>
      <c r="E224" s="8" t="str">
        <f>T("&lt;墨子&gt;選評")</f>
        <v>&lt;墨子&gt;選評</v>
      </c>
      <c r="F224" s="7" t="s">
        <v>2799</v>
      </c>
      <c r="G224" s="7" t="str">
        <f t="shared" ref="G224:G233" si="12">T("上海古籍")</f>
        <v>上海古籍</v>
      </c>
      <c r="H224" s="7" t="str">
        <f>T("20050101")</f>
        <v>20050101</v>
      </c>
      <c r="I224" s="7"/>
      <c r="J224" s="7">
        <v>70</v>
      </c>
      <c r="K224" s="9" t="s">
        <v>112</v>
      </c>
    </row>
    <row r="225" spans="1:11" ht="28.5" x14ac:dyDescent="0.25">
      <c r="A225" s="5">
        <v>221</v>
      </c>
      <c r="B225" s="5">
        <v>126</v>
      </c>
      <c r="C225" s="10" t="s">
        <v>121</v>
      </c>
      <c r="D225" s="7" t="s">
        <v>1566</v>
      </c>
      <c r="E225" s="8" t="str">
        <f>T("文本實踐與身份辨識：中國基督徒知識份子的中文著述:1583-1949")</f>
        <v>文本實踐與身份辨識：中國基督徒知識份子的中文著述:1583-1949</v>
      </c>
      <c r="F225" s="7" t="s">
        <v>2800</v>
      </c>
      <c r="G225" s="7" t="str">
        <f t="shared" si="12"/>
        <v>上海古籍</v>
      </c>
      <c r="H225" s="7" t="str">
        <f>T("20051201")</f>
        <v>20051201</v>
      </c>
      <c r="I225" s="7">
        <v>35</v>
      </c>
      <c r="J225" s="7">
        <v>210</v>
      </c>
      <c r="K225" s="9" t="s">
        <v>112</v>
      </c>
    </row>
    <row r="226" spans="1:11" x14ac:dyDescent="0.25">
      <c r="A226" s="5">
        <v>222</v>
      </c>
      <c r="B226" s="5">
        <v>127</v>
      </c>
      <c r="C226" s="10" t="s">
        <v>791</v>
      </c>
      <c r="D226" s="7" t="s">
        <v>1567</v>
      </c>
      <c r="E226" s="8" t="str">
        <f>T("廣東會館論稿")</f>
        <v>廣東會館論稿</v>
      </c>
      <c r="F226" s="7" t="s">
        <v>2801</v>
      </c>
      <c r="G226" s="7" t="str">
        <f t="shared" si="12"/>
        <v>上海古籍</v>
      </c>
      <c r="H226" s="7" t="str">
        <f>T("20070112")</f>
        <v>20070112</v>
      </c>
      <c r="I226" s="7">
        <v>38</v>
      </c>
      <c r="J226" s="7">
        <v>228</v>
      </c>
      <c r="K226" s="9" t="s">
        <v>112</v>
      </c>
    </row>
    <row r="227" spans="1:11" x14ac:dyDescent="0.25">
      <c r="A227" s="5">
        <v>223</v>
      </c>
      <c r="B227" s="5">
        <v>128</v>
      </c>
      <c r="C227" s="10" t="s">
        <v>792</v>
      </c>
      <c r="D227" s="7" t="s">
        <v>1568</v>
      </c>
      <c r="E227" s="8" t="str">
        <f>T("滂喜齋藏書記:寶禮堂宋本書錄")</f>
        <v>滂喜齋藏書記:寶禮堂宋本書錄</v>
      </c>
      <c r="F227" s="7" t="s">
        <v>2802</v>
      </c>
      <c r="G227" s="7" t="str">
        <f t="shared" si="12"/>
        <v>上海古籍</v>
      </c>
      <c r="H227" s="7" t="str">
        <f>T("20070801")</f>
        <v>20070801</v>
      </c>
      <c r="I227" s="7">
        <v>28</v>
      </c>
      <c r="J227" s="7">
        <v>168</v>
      </c>
      <c r="K227" s="9" t="s">
        <v>112</v>
      </c>
    </row>
    <row r="228" spans="1:11" x14ac:dyDescent="0.25">
      <c r="A228" s="5">
        <v>224</v>
      </c>
      <c r="B228" s="5">
        <v>129</v>
      </c>
      <c r="C228" s="10" t="s">
        <v>793</v>
      </c>
      <c r="D228" s="7" t="s">
        <v>1569</v>
      </c>
      <c r="E228" s="8" t="str">
        <f>T("啟動傳統-尋求中國古代文論的生長點")</f>
        <v>啟動傳統-尋求中國古代文論的生長點</v>
      </c>
      <c r="F228" s="7" t="s">
        <v>2803</v>
      </c>
      <c r="G228" s="7" t="str">
        <f t="shared" si="12"/>
        <v>上海古籍</v>
      </c>
      <c r="H228" s="7" t="str">
        <f>T("20070701")</f>
        <v>20070701</v>
      </c>
      <c r="I228" s="7">
        <v>24</v>
      </c>
      <c r="J228" s="7">
        <v>144</v>
      </c>
      <c r="K228" s="9" t="s">
        <v>112</v>
      </c>
    </row>
    <row r="229" spans="1:11" x14ac:dyDescent="0.25">
      <c r="A229" s="5">
        <v>225</v>
      </c>
      <c r="B229" s="5">
        <v>130</v>
      </c>
      <c r="C229" s="10" t="s">
        <v>797</v>
      </c>
      <c r="D229" s="7" t="s">
        <v>1570</v>
      </c>
      <c r="E229" s="8" t="str">
        <f>T("《近思錄》版本與傳播研究")</f>
        <v>《近思錄》版本與傳播研究</v>
      </c>
      <c r="F229" s="7" t="s">
        <v>2804</v>
      </c>
      <c r="G229" s="7" t="str">
        <f t="shared" si="12"/>
        <v>上海古籍</v>
      </c>
      <c r="H229" s="7" t="str">
        <f>T("20080601")</f>
        <v>20080601</v>
      </c>
      <c r="I229" s="7">
        <v>59</v>
      </c>
      <c r="J229" s="7">
        <v>354</v>
      </c>
      <c r="K229" s="9" t="s">
        <v>112</v>
      </c>
    </row>
    <row r="230" spans="1:11" x14ac:dyDescent="0.25">
      <c r="A230" s="5">
        <v>226</v>
      </c>
      <c r="B230" s="5">
        <v>131</v>
      </c>
      <c r="C230" s="10" t="s">
        <v>800</v>
      </c>
      <c r="D230" s="7" t="s">
        <v>1571</v>
      </c>
      <c r="E230" s="8" t="str">
        <f>T("中國古佚書輯本目錄解題")</f>
        <v>中國古佚書輯本目錄解題</v>
      </c>
      <c r="F230" s="7" t="s">
        <v>2805</v>
      </c>
      <c r="G230" s="7" t="str">
        <f t="shared" si="12"/>
        <v>上海古籍</v>
      </c>
      <c r="H230" s="7" t="str">
        <f>T("20091123")</f>
        <v>20091123</v>
      </c>
      <c r="I230" s="7">
        <v>88</v>
      </c>
      <c r="J230" s="7">
        <v>528</v>
      </c>
      <c r="K230" s="9" t="s">
        <v>112</v>
      </c>
    </row>
    <row r="231" spans="1:11" x14ac:dyDescent="0.25">
      <c r="A231" s="5">
        <v>227</v>
      </c>
      <c r="B231" s="5">
        <v>132</v>
      </c>
      <c r="C231" s="10" t="s">
        <v>46</v>
      </c>
      <c r="D231" s="7" t="s">
        <v>1572</v>
      </c>
      <c r="E231" s="8" t="str">
        <f>T("簡帛(第4輯)")</f>
        <v>簡帛(第4輯)</v>
      </c>
      <c r="F231" s="7" t="s">
        <v>2806</v>
      </c>
      <c r="G231" s="7" t="str">
        <f t="shared" si="12"/>
        <v>上海古籍</v>
      </c>
      <c r="H231" s="7" t="str">
        <f>T("20091001")</f>
        <v>20091001</v>
      </c>
      <c r="I231" s="7">
        <v>98</v>
      </c>
      <c r="J231" s="7">
        <v>588</v>
      </c>
      <c r="K231" s="9" t="s">
        <v>112</v>
      </c>
    </row>
    <row r="232" spans="1:11" x14ac:dyDescent="0.25">
      <c r="A232" s="5">
        <v>228</v>
      </c>
      <c r="B232" s="5">
        <v>133</v>
      </c>
      <c r="C232" s="10" t="s">
        <v>47</v>
      </c>
      <c r="D232" s="7" t="s">
        <v>1573</v>
      </c>
      <c r="E232" s="8" t="str">
        <f>T("楊明卷-漢唐文學研賞集")</f>
        <v>楊明卷-漢唐文學研賞集</v>
      </c>
      <c r="F232" s="7" t="s">
        <v>2807</v>
      </c>
      <c r="G232" s="7" t="str">
        <f t="shared" si="12"/>
        <v>上海古籍</v>
      </c>
      <c r="H232" s="7" t="str">
        <f>T("20100101")</f>
        <v>20100101</v>
      </c>
      <c r="I232" s="7">
        <v>48</v>
      </c>
      <c r="J232" s="7">
        <v>288</v>
      </c>
      <c r="K232" s="9" t="s">
        <v>112</v>
      </c>
    </row>
    <row r="233" spans="1:11" ht="28.5" x14ac:dyDescent="0.25">
      <c r="A233" s="5">
        <v>229</v>
      </c>
      <c r="B233" s="5">
        <v>134</v>
      </c>
      <c r="C233" s="10" t="s">
        <v>804</v>
      </c>
      <c r="D233" s="7" t="s">
        <v>1574</v>
      </c>
      <c r="E233" s="8" t="str">
        <f>T("通往中興之路--思想文化視域中的宋南渡詩壇")</f>
        <v>通往中興之路--思想文化視域中的宋南渡詩壇</v>
      </c>
      <c r="F233" s="7" t="s">
        <v>2808</v>
      </c>
      <c r="G233" s="7" t="str">
        <f t="shared" si="12"/>
        <v>上海古籍</v>
      </c>
      <c r="H233" s="7" t="str">
        <f>T("20110101")</f>
        <v>20110101</v>
      </c>
      <c r="I233" s="7">
        <v>45</v>
      </c>
      <c r="J233" s="7">
        <v>270</v>
      </c>
      <c r="K233" s="9" t="s">
        <v>112</v>
      </c>
    </row>
    <row r="234" spans="1:11" x14ac:dyDescent="0.25">
      <c r="A234" s="5">
        <v>230</v>
      </c>
      <c r="B234" s="5">
        <v>135</v>
      </c>
      <c r="C234" s="10" t="s">
        <v>616</v>
      </c>
      <c r="D234" s="7" t="s">
        <v>1575</v>
      </c>
      <c r="E234" s="8" t="str">
        <f>T("齊魯文化與明清小說")</f>
        <v>齊魯文化與明清小說</v>
      </c>
      <c r="F234" s="7" t="s">
        <v>2809</v>
      </c>
      <c r="G234" s="7" t="str">
        <f>T("齊魯書社")</f>
        <v>齊魯書社</v>
      </c>
      <c r="H234" s="7" t="str">
        <f>T("20081201")</f>
        <v>20081201</v>
      </c>
      <c r="I234" s="7">
        <v>48</v>
      </c>
      <c r="J234" s="7">
        <v>288</v>
      </c>
      <c r="K234" s="9" t="s">
        <v>112</v>
      </c>
    </row>
    <row r="235" spans="1:11" x14ac:dyDescent="0.25">
      <c r="A235" s="5">
        <v>231</v>
      </c>
      <c r="B235" s="5">
        <v>136</v>
      </c>
      <c r="C235" s="10" t="s">
        <v>617</v>
      </c>
      <c r="D235" s="7" t="s">
        <v>1576</v>
      </c>
      <c r="E235" s="8" t="str">
        <f>T("齊魯文人與六朝文風")</f>
        <v>齊魯文人與六朝文風</v>
      </c>
      <c r="F235" s="7" t="s">
        <v>2810</v>
      </c>
      <c r="G235" s="7" t="str">
        <f>T("齊魯書社")</f>
        <v>齊魯書社</v>
      </c>
      <c r="H235" s="7" t="str">
        <f>T("20081201")</f>
        <v>20081201</v>
      </c>
      <c r="I235" s="7">
        <v>39</v>
      </c>
      <c r="J235" s="7">
        <v>234</v>
      </c>
      <c r="K235" s="9" t="s">
        <v>112</v>
      </c>
    </row>
    <row r="236" spans="1:11" ht="28.5" x14ac:dyDescent="0.25">
      <c r="A236" s="5">
        <v>232</v>
      </c>
      <c r="B236" s="5">
        <v>137</v>
      </c>
      <c r="C236" s="10" t="s">
        <v>618</v>
      </c>
      <c r="D236" s="7" t="s">
        <v>1577</v>
      </c>
      <c r="E236" s="8" t="str">
        <f>T("齊魯文化與中國古代文學研究叢書—齊魯典籍與小說濫觴")</f>
        <v>齊魯文化與中國古代文學研究叢書—齊魯典籍與小說濫觴</v>
      </c>
      <c r="F236" s="7" t="s">
        <v>2811</v>
      </c>
      <c r="G236" s="7" t="str">
        <f>T("齊魯書社")</f>
        <v>齊魯書社</v>
      </c>
      <c r="H236" s="7" t="str">
        <f>T("20081201")</f>
        <v>20081201</v>
      </c>
      <c r="I236" s="7">
        <v>29</v>
      </c>
      <c r="J236" s="7">
        <v>174</v>
      </c>
      <c r="K236" s="9" t="s">
        <v>112</v>
      </c>
    </row>
    <row r="237" spans="1:11" x14ac:dyDescent="0.25">
      <c r="A237" s="5">
        <v>233</v>
      </c>
      <c r="B237" s="5">
        <v>138</v>
      </c>
      <c r="C237" s="10" t="s">
        <v>621</v>
      </c>
      <c r="D237" s="7" t="s">
        <v>1578</v>
      </c>
      <c r="E237" s="8" t="str">
        <f>T("中國古代文化史論")</f>
        <v>中國古代文化史論</v>
      </c>
      <c r="F237" s="7" t="s">
        <v>2812</v>
      </c>
      <c r="G237" s="7" t="str">
        <f>T("齊魯書社")</f>
        <v>齊魯書社</v>
      </c>
      <c r="H237" s="7" t="str">
        <f>T("20081201")</f>
        <v>20081201</v>
      </c>
      <c r="I237" s="7">
        <v>29</v>
      </c>
      <c r="J237" s="7">
        <v>174</v>
      </c>
      <c r="K237" s="9" t="s">
        <v>112</v>
      </c>
    </row>
    <row r="238" spans="1:11" x14ac:dyDescent="0.25">
      <c r="A238" s="5">
        <v>234</v>
      </c>
      <c r="B238" s="5">
        <v>139</v>
      </c>
      <c r="C238" s="10" t="s">
        <v>636</v>
      </c>
      <c r="D238" s="7" t="s">
        <v>1579</v>
      </c>
      <c r="E238" s="8" t="str">
        <f>T("新文學(第四輯)")</f>
        <v>新文學(第四輯)</v>
      </c>
      <c r="F238" s="7" t="s">
        <v>1312</v>
      </c>
      <c r="G238" s="7" t="str">
        <f>T("河南大象")</f>
        <v>河南大象</v>
      </c>
      <c r="H238" s="7" t="str">
        <f>T("")</f>
        <v/>
      </c>
      <c r="I238" s="7">
        <v>31.6</v>
      </c>
      <c r="J238" s="7">
        <v>190</v>
      </c>
      <c r="K238" s="9" t="s">
        <v>112</v>
      </c>
    </row>
    <row r="239" spans="1:11" x14ac:dyDescent="0.25">
      <c r="A239" s="5">
        <v>235</v>
      </c>
      <c r="B239" s="5">
        <v>140</v>
      </c>
      <c r="C239" s="10" t="s">
        <v>638</v>
      </c>
      <c r="D239" s="7" t="s">
        <v>1580</v>
      </c>
      <c r="E239" s="8" t="str">
        <f>T("學林清話")</f>
        <v>學林清話</v>
      </c>
      <c r="F239" s="7" t="s">
        <v>2813</v>
      </c>
      <c r="G239" s="7" t="str">
        <f>T("河南大象")</f>
        <v>河南大象</v>
      </c>
      <c r="H239" s="7" t="str">
        <f>T("20081001")</f>
        <v>20081001</v>
      </c>
      <c r="I239" s="7">
        <v>38</v>
      </c>
      <c r="J239" s="7">
        <v>228</v>
      </c>
      <c r="K239" s="9" t="s">
        <v>1320</v>
      </c>
    </row>
    <row r="240" spans="1:11" x14ac:dyDescent="0.25">
      <c r="A240" s="5">
        <v>236</v>
      </c>
      <c r="B240" s="5">
        <v>141</v>
      </c>
      <c r="C240" s="10" t="s">
        <v>403</v>
      </c>
      <c r="D240" s="7" t="s">
        <v>1581</v>
      </c>
      <c r="E240" s="8" t="str">
        <f>T("古代治家經典的現代閱讀")</f>
        <v>古代治家經典的現代閱讀</v>
      </c>
      <c r="F240" s="7" t="s">
        <v>2814</v>
      </c>
      <c r="G240" s="7" t="str">
        <f>T("大象")</f>
        <v>大象</v>
      </c>
      <c r="H240" s="7" t="str">
        <f>T("20090101")</f>
        <v>20090101</v>
      </c>
      <c r="I240" s="7">
        <v>29.8</v>
      </c>
      <c r="J240" s="7">
        <v>179</v>
      </c>
      <c r="K240" s="9" t="s">
        <v>1320</v>
      </c>
    </row>
    <row r="241" spans="1:11" x14ac:dyDescent="0.25">
      <c r="A241" s="5">
        <v>237</v>
      </c>
      <c r="B241" s="5">
        <v>142</v>
      </c>
      <c r="C241" s="10" t="s">
        <v>639</v>
      </c>
      <c r="D241" s="7" t="s">
        <v>1582</v>
      </c>
      <c r="E241" s="8" t="str">
        <f>T("歷史從殿堂走向民間")</f>
        <v>歷史從殿堂走向民間</v>
      </c>
      <c r="F241" s="7" t="s">
        <v>2815</v>
      </c>
      <c r="G241" s="7" t="str">
        <f>T("大象")</f>
        <v>大象</v>
      </c>
      <c r="H241" s="7" t="str">
        <f>T("20091101")</f>
        <v>20091101</v>
      </c>
      <c r="I241" s="7">
        <v>13.8</v>
      </c>
      <c r="J241" s="7">
        <v>83</v>
      </c>
      <c r="K241" s="9" t="s">
        <v>112</v>
      </c>
    </row>
    <row r="242" spans="1:11" x14ac:dyDescent="0.25">
      <c r="A242" s="5">
        <v>238</v>
      </c>
      <c r="B242" s="5">
        <v>143</v>
      </c>
      <c r="C242" s="10" t="s">
        <v>651</v>
      </c>
      <c r="D242" s="7" t="s">
        <v>1583</v>
      </c>
      <c r="E242" s="8" t="str">
        <f>T("光緒二十九年(1903)小說研究")</f>
        <v>光緒二十九年(1903)小說研究</v>
      </c>
      <c r="F242" s="7" t="s">
        <v>2816</v>
      </c>
      <c r="G242" s="7" t="str">
        <f>T("中州古籍")</f>
        <v>中州古籍</v>
      </c>
      <c r="H242" s="7" t="str">
        <f>T("20090901")</f>
        <v>20090901</v>
      </c>
      <c r="I242" s="7">
        <v>25</v>
      </c>
      <c r="J242" s="7">
        <v>150</v>
      </c>
      <c r="K242" s="9" t="s">
        <v>112</v>
      </c>
    </row>
    <row r="243" spans="1:11" x14ac:dyDescent="0.25">
      <c r="A243" s="5">
        <v>239</v>
      </c>
      <c r="B243" s="5">
        <v>144</v>
      </c>
      <c r="C243" s="10" t="s">
        <v>657</v>
      </c>
      <c r="D243" s="7" t="s">
        <v>1584</v>
      </c>
      <c r="E243" s="8" t="str">
        <f>T("2009年中國報告文學精選")</f>
        <v>2009年中國報告文學精選</v>
      </c>
      <c r="F243" s="7" t="s">
        <v>2817</v>
      </c>
      <c r="G243" s="7" t="str">
        <f>T("長江文藝")</f>
        <v>長江文藝</v>
      </c>
      <c r="H243" s="7" t="str">
        <f>T("20100101")</f>
        <v>20100101</v>
      </c>
      <c r="I243" s="7">
        <v>30</v>
      </c>
      <c r="J243" s="7">
        <v>180</v>
      </c>
      <c r="K243" s="9" t="s">
        <v>112</v>
      </c>
    </row>
    <row r="244" spans="1:11" x14ac:dyDescent="0.25">
      <c r="A244" s="5">
        <v>240</v>
      </c>
      <c r="B244" s="5">
        <v>145</v>
      </c>
      <c r="C244" s="10" t="s">
        <v>672</v>
      </c>
      <c r="D244" s="7" t="s">
        <v>1585</v>
      </c>
      <c r="E244" s="8" t="str">
        <f>T("老北大講義:目錄學發微")</f>
        <v>老北大講義:目錄學發微</v>
      </c>
      <c r="F244" s="7" t="s">
        <v>2818</v>
      </c>
      <c r="G244" s="7" t="str">
        <f>T("時代文藝")</f>
        <v>時代文藝</v>
      </c>
      <c r="H244" s="7" t="str">
        <f>T("20090501")</f>
        <v>20090501</v>
      </c>
      <c r="I244" s="7">
        <v>14</v>
      </c>
      <c r="J244" s="7">
        <v>84</v>
      </c>
      <c r="K244" s="9" t="s">
        <v>112</v>
      </c>
    </row>
    <row r="245" spans="1:11" x14ac:dyDescent="0.25">
      <c r="A245" s="5">
        <v>241</v>
      </c>
      <c r="B245" s="5">
        <v>146</v>
      </c>
      <c r="C245" s="10" t="s">
        <v>829</v>
      </c>
      <c r="D245" s="7" t="s">
        <v>1586</v>
      </c>
      <c r="E245" s="8" t="str">
        <f>T("詠物流變文化論")</f>
        <v>詠物流變文化論</v>
      </c>
      <c r="F245" s="7" t="s">
        <v>2819</v>
      </c>
      <c r="G245" s="7" t="str">
        <f>T("湖南人民")</f>
        <v>湖南人民</v>
      </c>
      <c r="H245" s="7" t="str">
        <f>T("20090801")</f>
        <v>20090801</v>
      </c>
      <c r="I245" s="7">
        <v>28</v>
      </c>
      <c r="J245" s="7">
        <v>168</v>
      </c>
      <c r="K245" s="9" t="s">
        <v>112</v>
      </c>
    </row>
    <row r="246" spans="1:11" x14ac:dyDescent="0.25">
      <c r="A246" s="5">
        <v>242</v>
      </c>
      <c r="B246" s="5">
        <v>147</v>
      </c>
      <c r="C246" s="10" t="s">
        <v>830</v>
      </c>
      <c r="D246" s="7" t="s">
        <v>1587</v>
      </c>
      <c r="E246" s="8" t="str">
        <f>T("先秦諸子思維研究")</f>
        <v>先秦諸子思維研究</v>
      </c>
      <c r="F246" s="7" t="s">
        <v>2820</v>
      </c>
      <c r="G246" s="7" t="str">
        <f>T("湖南人民")</f>
        <v>湖南人民</v>
      </c>
      <c r="H246" s="7" t="str">
        <f>T("20090901")</f>
        <v>20090901</v>
      </c>
      <c r="I246" s="7">
        <v>32</v>
      </c>
      <c r="J246" s="7">
        <v>192</v>
      </c>
      <c r="K246" s="9" t="s">
        <v>112</v>
      </c>
    </row>
    <row r="247" spans="1:11" x14ac:dyDescent="0.25">
      <c r="A247" s="5">
        <v>243</v>
      </c>
      <c r="B247" s="5">
        <v>148</v>
      </c>
      <c r="C247" s="10" t="s">
        <v>831</v>
      </c>
      <c r="D247" s="7" t="s">
        <v>1588</v>
      </c>
      <c r="E247" s="8" t="str">
        <f>T("思想.歷史與文化評論")</f>
        <v>思想.歷史與文化評論</v>
      </c>
      <c r="F247" s="7" t="s">
        <v>2821</v>
      </c>
      <c r="G247" s="7" t="str">
        <f>T("湖南人民")</f>
        <v>湖南人民</v>
      </c>
      <c r="H247" s="7" t="str">
        <f>T("20100701")</f>
        <v>20100701</v>
      </c>
      <c r="I247" s="7">
        <v>38</v>
      </c>
      <c r="J247" s="7">
        <v>228</v>
      </c>
      <c r="K247" s="9" t="s">
        <v>112</v>
      </c>
    </row>
    <row r="248" spans="1:11" x14ac:dyDescent="0.25">
      <c r="A248" s="5">
        <v>244</v>
      </c>
      <c r="B248" s="5">
        <v>149</v>
      </c>
      <c r="C248" s="10" t="s">
        <v>889</v>
      </c>
      <c r="D248" s="7" t="s">
        <v>1589</v>
      </c>
      <c r="E248" s="8" t="str">
        <f>T("墨子與中國人的兼愛情懷")</f>
        <v>墨子與中國人的兼愛情懷</v>
      </c>
      <c r="F248" s="7" t="s">
        <v>2822</v>
      </c>
      <c r="G248" s="7" t="str">
        <f>T("長春")</f>
        <v>長春</v>
      </c>
      <c r="H248" s="7" t="str">
        <f>T("20090101")</f>
        <v>20090101</v>
      </c>
      <c r="I248" s="7">
        <v>29</v>
      </c>
      <c r="J248" s="7">
        <v>174</v>
      </c>
      <c r="K248" s="9" t="s">
        <v>1320</v>
      </c>
    </row>
    <row r="249" spans="1:11" x14ac:dyDescent="0.25">
      <c r="A249" s="5">
        <v>245</v>
      </c>
      <c r="B249" s="5">
        <v>150</v>
      </c>
      <c r="C249" s="10" t="s">
        <v>891</v>
      </c>
      <c r="D249" s="7" t="s">
        <v>1590</v>
      </c>
      <c r="E249" s="8" t="str">
        <f>T("唐代文學探論")</f>
        <v>唐代文學探論</v>
      </c>
      <c r="F249" s="7" t="s">
        <v>2823</v>
      </c>
      <c r="G249" s="7" t="str">
        <f>T("黃山書社")</f>
        <v>黃山書社</v>
      </c>
      <c r="H249" s="7" t="str">
        <f>T("20090801")</f>
        <v>20090801</v>
      </c>
      <c r="I249" s="7">
        <v>34</v>
      </c>
      <c r="J249" s="7">
        <v>204</v>
      </c>
      <c r="K249" s="9" t="s">
        <v>112</v>
      </c>
    </row>
    <row r="250" spans="1:11" x14ac:dyDescent="0.25">
      <c r="A250" s="5">
        <v>246</v>
      </c>
      <c r="B250" s="5">
        <v>151</v>
      </c>
      <c r="C250" s="10" t="s">
        <v>892</v>
      </c>
      <c r="D250" s="7" t="s">
        <v>1591</v>
      </c>
      <c r="E250" s="8" t="str">
        <f>T("顧炎武與中國文化")</f>
        <v>顧炎武與中國文化</v>
      </c>
      <c r="F250" s="7" t="s">
        <v>2824</v>
      </c>
      <c r="G250" s="7" t="str">
        <f>T("黃山書社")</f>
        <v>黃山書社</v>
      </c>
      <c r="H250" s="7" t="str">
        <f>T("20090101")</f>
        <v>20090101</v>
      </c>
      <c r="I250" s="7">
        <v>28</v>
      </c>
      <c r="J250" s="7">
        <v>168</v>
      </c>
      <c r="K250" s="9" t="s">
        <v>112</v>
      </c>
    </row>
    <row r="251" spans="1:11" x14ac:dyDescent="0.25">
      <c r="A251" s="5">
        <v>247</v>
      </c>
      <c r="B251" s="5">
        <v>152</v>
      </c>
      <c r="C251" s="10" t="s">
        <v>916</v>
      </c>
      <c r="D251" s="7" t="s">
        <v>1592</v>
      </c>
      <c r="E251" s="8" t="str">
        <f>T("東晉文藝綜合研究(山東大學文史書系)")</f>
        <v>東晉文藝綜合研究(山東大學文史書系)</v>
      </c>
      <c r="F251" s="7" t="s">
        <v>2825</v>
      </c>
      <c r="G251" s="7" t="str">
        <f>T("山東大學")</f>
        <v>山東大學</v>
      </c>
      <c r="H251" s="7" t="str">
        <f>T("20090401")</f>
        <v>20090401</v>
      </c>
      <c r="I251" s="7">
        <v>37</v>
      </c>
      <c r="J251" s="7">
        <v>222</v>
      </c>
      <c r="K251" s="9" t="s">
        <v>112</v>
      </c>
    </row>
    <row r="252" spans="1:11" x14ac:dyDescent="0.25">
      <c r="A252" s="5">
        <v>248</v>
      </c>
      <c r="B252" s="5">
        <v>153</v>
      </c>
      <c r="C252" s="10" t="s">
        <v>937</v>
      </c>
      <c r="D252" s="7" t="s">
        <v>1593</v>
      </c>
      <c r="E252" s="8" t="str">
        <f>T("徐思益語言論文選")</f>
        <v>徐思益語言論文選</v>
      </c>
      <c r="F252" s="7" t="s">
        <v>1962</v>
      </c>
      <c r="G252" s="7" t="str">
        <f>T("新疆大學")</f>
        <v>新疆大學</v>
      </c>
      <c r="H252" s="7" t="str">
        <f>T("20101201")</f>
        <v>20101201</v>
      </c>
      <c r="I252" s="7">
        <v>20</v>
      </c>
      <c r="J252" s="7">
        <v>120</v>
      </c>
      <c r="K252" s="9" t="s">
        <v>1320</v>
      </c>
    </row>
    <row r="253" spans="1:11" x14ac:dyDescent="0.25">
      <c r="A253" s="5">
        <v>249</v>
      </c>
      <c r="B253" s="5">
        <v>154</v>
      </c>
      <c r="C253" s="10" t="s">
        <v>938</v>
      </c>
      <c r="D253" s="7" t="s">
        <v>1594</v>
      </c>
      <c r="E253" s="8" t="str">
        <f>T("走出的批評")</f>
        <v>走出的批評</v>
      </c>
      <c r="F253" s="7" t="s">
        <v>1962</v>
      </c>
      <c r="G253" s="7" t="str">
        <f>T("新疆大學")</f>
        <v>新疆大學</v>
      </c>
      <c r="H253" s="7" t="str">
        <f>T("20080201")</f>
        <v>20080201</v>
      </c>
      <c r="I253" s="7">
        <v>48</v>
      </c>
      <c r="J253" s="7">
        <v>288</v>
      </c>
      <c r="K253" s="9" t="s">
        <v>112</v>
      </c>
    </row>
    <row r="254" spans="1:11" x14ac:dyDescent="0.25">
      <c r="A254" s="5">
        <v>250</v>
      </c>
      <c r="B254" s="5">
        <v>155</v>
      </c>
      <c r="C254" s="10" t="s">
        <v>175</v>
      </c>
      <c r="D254" s="7" t="s">
        <v>1595</v>
      </c>
      <c r="E254" s="8" t="str">
        <f>T("文學拓耕集")</f>
        <v>文學拓耕集</v>
      </c>
      <c r="F254" s="7" t="s">
        <v>1962</v>
      </c>
      <c r="G254" s="7" t="str">
        <f>T("新疆大學")</f>
        <v>新疆大學</v>
      </c>
      <c r="H254" s="7" t="str">
        <f>T("20080201")</f>
        <v>20080201</v>
      </c>
      <c r="I254" s="7">
        <v>36</v>
      </c>
      <c r="J254" s="7">
        <v>216</v>
      </c>
      <c r="K254" s="9" t="s">
        <v>112</v>
      </c>
    </row>
    <row r="255" spans="1:11" x14ac:dyDescent="0.25">
      <c r="A255" s="5">
        <v>251</v>
      </c>
      <c r="B255" s="5">
        <v>156</v>
      </c>
      <c r="C255" s="10" t="s">
        <v>176</v>
      </c>
      <c r="D255" s="7" t="s">
        <v>1596</v>
      </c>
      <c r="E255" s="8" t="str">
        <f>T("新疆改革開放文學三十年")</f>
        <v>新疆改革開放文學三十年</v>
      </c>
      <c r="F255" s="7" t="s">
        <v>1962</v>
      </c>
      <c r="G255" s="7" t="str">
        <f>T("新疆大學")</f>
        <v>新疆大學</v>
      </c>
      <c r="H255" s="7" t="str">
        <f>T("20080201")</f>
        <v>20080201</v>
      </c>
      <c r="I255" s="7">
        <v>58</v>
      </c>
      <c r="J255" s="7">
        <v>348</v>
      </c>
      <c r="K255" s="9" t="s">
        <v>112</v>
      </c>
    </row>
    <row r="256" spans="1:11" x14ac:dyDescent="0.25">
      <c r="A256" s="5">
        <v>252</v>
      </c>
      <c r="B256" s="5">
        <v>157</v>
      </c>
      <c r="C256" s="10" t="s">
        <v>942</v>
      </c>
      <c r="D256" s="7" t="s">
        <v>1597</v>
      </c>
      <c r="E256" s="8" t="str">
        <f>T("書韻悠悠一脈香:沈津書目文獻論集（桂）")</f>
        <v>書韻悠悠一脈香:沈津書目文獻論集（桂）</v>
      </c>
      <c r="F256" s="7" t="s">
        <v>2826</v>
      </c>
      <c r="G256" s="7" t="str">
        <f t="shared" ref="G256:G261" si="13">T("廣西師大")</f>
        <v>廣西師大</v>
      </c>
      <c r="H256" s="7" t="str">
        <f>T("20060901")</f>
        <v>20060901</v>
      </c>
      <c r="I256" s="7">
        <v>49.8</v>
      </c>
      <c r="J256" s="7">
        <v>299</v>
      </c>
      <c r="K256" s="9" t="s">
        <v>112</v>
      </c>
    </row>
    <row r="257" spans="1:11" x14ac:dyDescent="0.25">
      <c r="A257" s="5">
        <v>253</v>
      </c>
      <c r="B257" s="5">
        <v>158</v>
      </c>
      <c r="C257" s="10" t="s">
        <v>944</v>
      </c>
      <c r="D257" s="7" t="s">
        <v>1598</v>
      </c>
      <c r="E257" s="8" t="str">
        <f>T("居延漢簡研究(上下)（桂）")</f>
        <v>居延漢簡研究(上下)（桂）</v>
      </c>
      <c r="F257" s="7" t="s">
        <v>2827</v>
      </c>
      <c r="G257" s="7" t="str">
        <f t="shared" si="13"/>
        <v>廣西師大</v>
      </c>
      <c r="H257" s="7" t="str">
        <f>T("20070701")</f>
        <v>20070701</v>
      </c>
      <c r="I257" s="7">
        <v>80</v>
      </c>
      <c r="J257" s="7">
        <v>480</v>
      </c>
      <c r="K257" s="9" t="s">
        <v>112</v>
      </c>
    </row>
    <row r="258" spans="1:11" x14ac:dyDescent="0.25">
      <c r="A258" s="5">
        <v>254</v>
      </c>
      <c r="B258" s="5">
        <v>159</v>
      </c>
      <c r="C258" s="10" t="s">
        <v>947</v>
      </c>
      <c r="D258" s="7" t="s">
        <v>1599</v>
      </c>
      <c r="E258" s="8" t="str">
        <f>T("先秦文化綜論")</f>
        <v>先秦文化綜論</v>
      </c>
      <c r="F258" s="7" t="s">
        <v>2828</v>
      </c>
      <c r="G258" s="7" t="str">
        <f t="shared" si="13"/>
        <v>廣西師大</v>
      </c>
      <c r="H258" s="7" t="str">
        <f>T("20080901")</f>
        <v>20080901</v>
      </c>
      <c r="I258" s="7">
        <v>28</v>
      </c>
      <c r="J258" s="7">
        <v>168</v>
      </c>
      <c r="K258" s="9" t="s">
        <v>112</v>
      </c>
    </row>
    <row r="259" spans="1:11" x14ac:dyDescent="0.25">
      <c r="A259" s="5">
        <v>255</v>
      </c>
      <c r="B259" s="5">
        <v>160</v>
      </c>
      <c r="C259" s="10" t="s">
        <v>955</v>
      </c>
      <c r="D259" s="7" t="s">
        <v>1600</v>
      </c>
      <c r="E259" s="8" t="str">
        <f>T("原典書坊：諸子概論")</f>
        <v>原典書坊：諸子概論</v>
      </c>
      <c r="F259" s="7" t="s">
        <v>2829</v>
      </c>
      <c r="G259" s="7" t="str">
        <f t="shared" si="13"/>
        <v>廣西師大</v>
      </c>
      <c r="H259" s="7" t="str">
        <f>T("20100301")</f>
        <v>20100301</v>
      </c>
      <c r="I259" s="7">
        <v>16</v>
      </c>
      <c r="J259" s="7">
        <v>96</v>
      </c>
      <c r="K259" s="9" t="s">
        <v>1320</v>
      </c>
    </row>
    <row r="260" spans="1:11" x14ac:dyDescent="0.25">
      <c r="A260" s="5">
        <v>256</v>
      </c>
      <c r="B260" s="5">
        <v>161</v>
      </c>
      <c r="C260" s="10" t="s">
        <v>956</v>
      </c>
      <c r="D260" s="7" t="s">
        <v>1601</v>
      </c>
      <c r="E260" s="8" t="str">
        <f>T("原典書坊：清代學術概論")</f>
        <v>原典書坊：清代學術概論</v>
      </c>
      <c r="F260" s="7" t="s">
        <v>2694</v>
      </c>
      <c r="G260" s="7" t="str">
        <f t="shared" si="13"/>
        <v>廣西師大</v>
      </c>
      <c r="H260" s="7" t="str">
        <f>T("20100301")</f>
        <v>20100301</v>
      </c>
      <c r="I260" s="7">
        <v>18</v>
      </c>
      <c r="J260" s="7">
        <v>108</v>
      </c>
      <c r="K260" s="9" t="s">
        <v>1320</v>
      </c>
    </row>
    <row r="261" spans="1:11" x14ac:dyDescent="0.25">
      <c r="A261" s="5">
        <v>257</v>
      </c>
      <c r="B261" s="5">
        <v>162</v>
      </c>
      <c r="C261" s="10" t="s">
        <v>957</v>
      </c>
      <c r="D261" s="7" t="s">
        <v>1602</v>
      </c>
      <c r="E261" s="8" t="str">
        <f>T("劫中得書記")</f>
        <v>劫中得書記</v>
      </c>
      <c r="F261" s="7" t="s">
        <v>2830</v>
      </c>
      <c r="G261" s="7" t="str">
        <f t="shared" si="13"/>
        <v>廣西師大</v>
      </c>
      <c r="H261" s="7" t="str">
        <f>T("20100901")</f>
        <v>20100901</v>
      </c>
      <c r="I261" s="7">
        <v>29.8</v>
      </c>
      <c r="J261" s="7">
        <v>179</v>
      </c>
      <c r="K261" s="9" t="s">
        <v>1320</v>
      </c>
    </row>
    <row r="262" spans="1:11" x14ac:dyDescent="0.25">
      <c r="A262" s="5">
        <v>258</v>
      </c>
      <c r="B262" s="5">
        <v>163</v>
      </c>
      <c r="C262" s="10" t="s">
        <v>999</v>
      </c>
      <c r="D262" s="7" t="s">
        <v>1603</v>
      </c>
      <c r="E262" s="8" t="str">
        <f>T("漢唐藝術賦研究")</f>
        <v>漢唐藝術賦研究</v>
      </c>
      <c r="F262" s="7" t="s">
        <v>2831</v>
      </c>
      <c r="G262" s="7" t="str">
        <f>T("學苑")</f>
        <v>學苑</v>
      </c>
      <c r="H262" s="7" t="str">
        <f>T("")</f>
        <v/>
      </c>
      <c r="I262" s="7">
        <v>20</v>
      </c>
      <c r="J262" s="7">
        <v>120</v>
      </c>
      <c r="K262" s="9" t="s">
        <v>112</v>
      </c>
    </row>
    <row r="263" spans="1:11" x14ac:dyDescent="0.25">
      <c r="A263" s="5">
        <v>259</v>
      </c>
      <c r="B263" s="5">
        <v>164</v>
      </c>
      <c r="C263" s="10" t="s">
        <v>1002</v>
      </c>
      <c r="D263" s="7" t="s">
        <v>1604</v>
      </c>
      <c r="E263" s="8" t="str">
        <f>T("沈鈞儒家書")</f>
        <v>沈鈞儒家書</v>
      </c>
      <c r="F263" s="7" t="s">
        <v>2832</v>
      </c>
      <c r="G263" s="7" t="str">
        <f>T("群言")</f>
        <v>群言</v>
      </c>
      <c r="H263" s="7" t="str">
        <f>T("20080601")</f>
        <v>20080601</v>
      </c>
      <c r="I263" s="7">
        <v>48</v>
      </c>
      <c r="J263" s="7">
        <v>288</v>
      </c>
      <c r="K263" s="9" t="s">
        <v>112</v>
      </c>
    </row>
    <row r="264" spans="1:11" x14ac:dyDescent="0.25">
      <c r="A264" s="5">
        <v>260</v>
      </c>
      <c r="B264" s="5">
        <v>165</v>
      </c>
      <c r="C264" s="10" t="s">
        <v>1003</v>
      </c>
      <c r="D264" s="7" t="s">
        <v>1605</v>
      </c>
      <c r="E264" s="8" t="str">
        <f>T("楚圖南年譜")</f>
        <v>楚圖南年譜</v>
      </c>
      <c r="F264" s="7" t="s">
        <v>2833</v>
      </c>
      <c r="G264" s="7" t="str">
        <f>T("群言")</f>
        <v>群言</v>
      </c>
      <c r="H264" s="7" t="str">
        <f>T("20081201")</f>
        <v>20081201</v>
      </c>
      <c r="I264" s="7">
        <v>22</v>
      </c>
      <c r="J264" s="7">
        <v>132</v>
      </c>
      <c r="K264" s="9" t="s">
        <v>1320</v>
      </c>
    </row>
    <row r="265" spans="1:11" x14ac:dyDescent="0.25">
      <c r="A265" s="5">
        <v>261</v>
      </c>
      <c r="B265" s="5">
        <v>166</v>
      </c>
      <c r="C265" s="10" t="s">
        <v>1009</v>
      </c>
      <c r="D265" s="7" t="s">
        <v>1606</v>
      </c>
      <c r="E265" s="8" t="str">
        <f>T("中華文學五千年(彩圖版)")</f>
        <v>中華文學五千年(彩圖版)</v>
      </c>
      <c r="F265" s="7" t="s">
        <v>2834</v>
      </c>
      <c r="G265" s="7" t="str">
        <f>T("光明日報")</f>
        <v>光明日報</v>
      </c>
      <c r="H265" s="7" t="str">
        <f>T("")</f>
        <v/>
      </c>
      <c r="I265" s="7">
        <v>29.8</v>
      </c>
      <c r="J265" s="7">
        <v>179</v>
      </c>
      <c r="K265" s="9" t="s">
        <v>112</v>
      </c>
    </row>
    <row r="266" spans="1:11" x14ac:dyDescent="0.25">
      <c r="A266" s="5">
        <v>262</v>
      </c>
      <c r="B266" s="5">
        <v>167</v>
      </c>
      <c r="C266" s="10" t="s">
        <v>317</v>
      </c>
      <c r="D266" s="7" t="s">
        <v>1607</v>
      </c>
      <c r="E266" s="8" t="str">
        <f>T("古人的天秤 : 中國古典名著中的法律文化")</f>
        <v>古人的天秤 : 中國古典名著中的法律文化</v>
      </c>
      <c r="F266" s="7" t="s">
        <v>2835</v>
      </c>
      <c r="G266" s="7" t="str">
        <f>T("當代中國")</f>
        <v>當代中國</v>
      </c>
      <c r="H266" s="7" t="str">
        <f>T("")</f>
        <v/>
      </c>
      <c r="I266" s="7">
        <v>20</v>
      </c>
      <c r="J266" s="7">
        <v>120</v>
      </c>
      <c r="K266" s="9" t="s">
        <v>112</v>
      </c>
    </row>
    <row r="267" spans="1:11" s="24" customFormat="1" x14ac:dyDescent="0.25">
      <c r="A267" s="5">
        <v>263</v>
      </c>
      <c r="B267" s="5">
        <v>168</v>
      </c>
      <c r="C267" s="10" t="s">
        <v>1019</v>
      </c>
      <c r="D267" s="13">
        <v>978780865519</v>
      </c>
      <c r="E267" s="8" t="str">
        <f>T("中國館藏滿鐵資料聯合目錄 全30冊")</f>
        <v>中國館藏滿鐵資料聯合目錄 全30冊</v>
      </c>
      <c r="F267" s="7" t="s">
        <v>1962</v>
      </c>
      <c r="G267" s="7" t="str">
        <f>T("東方出版")</f>
        <v>東方出版</v>
      </c>
      <c r="H267" s="7" t="str">
        <f>T("")</f>
        <v/>
      </c>
      <c r="I267" s="7">
        <v>24000</v>
      </c>
      <c r="J267" s="12">
        <v>144000</v>
      </c>
      <c r="K267" s="23" t="s">
        <v>112</v>
      </c>
    </row>
    <row r="268" spans="1:11" x14ac:dyDescent="0.25">
      <c r="A268" s="5">
        <v>264</v>
      </c>
      <c r="B268" s="5">
        <v>169</v>
      </c>
      <c r="C268" s="10" t="s">
        <v>1021</v>
      </c>
      <c r="D268" s="7" t="s">
        <v>1608</v>
      </c>
      <c r="E268" s="8" t="str">
        <f>T("中國學案史")</f>
        <v>中國學案史</v>
      </c>
      <c r="F268" s="7" t="s">
        <v>2836</v>
      </c>
      <c r="G268" s="7" t="str">
        <f>T("東方中心")</f>
        <v>東方中心</v>
      </c>
      <c r="H268" s="7" t="str">
        <f>T("20081001")</f>
        <v>20081001</v>
      </c>
      <c r="I268" s="7">
        <v>40</v>
      </c>
      <c r="J268" s="7">
        <v>240</v>
      </c>
      <c r="K268" s="9" t="s">
        <v>112</v>
      </c>
    </row>
    <row r="269" spans="1:11" x14ac:dyDescent="0.25">
      <c r="A269" s="5">
        <v>265</v>
      </c>
      <c r="B269" s="5">
        <v>170</v>
      </c>
      <c r="C269" s="10" t="s">
        <v>1037</v>
      </c>
      <c r="D269" s="7" t="s">
        <v>1609</v>
      </c>
      <c r="E269" s="8" t="str">
        <f>T("國學入門-國學語絲叢書")</f>
        <v>國學入門-國學語絲叢書</v>
      </c>
      <c r="F269" s="7" t="s">
        <v>2837</v>
      </c>
      <c r="G269" s="7" t="str">
        <f>T("中央編譯")</f>
        <v>中央編譯</v>
      </c>
      <c r="H269" s="7" t="str">
        <f>T("20090501")</f>
        <v>20090501</v>
      </c>
      <c r="I269" s="7">
        <v>20</v>
      </c>
      <c r="J269" s="7">
        <v>120</v>
      </c>
      <c r="K269" s="9" t="s">
        <v>112</v>
      </c>
    </row>
    <row r="270" spans="1:11" x14ac:dyDescent="0.25">
      <c r="A270" s="5">
        <v>266</v>
      </c>
      <c r="B270" s="5">
        <v>171</v>
      </c>
      <c r="C270" s="10" t="s">
        <v>1038</v>
      </c>
      <c r="D270" s="7" t="s">
        <v>1610</v>
      </c>
      <c r="E270" s="8" t="str">
        <f>T("國學概論-國學語絲叢書")</f>
        <v>國學概論-國學語絲叢書</v>
      </c>
      <c r="F270" s="7" t="s">
        <v>2838</v>
      </c>
      <c r="G270" s="7" t="str">
        <f>T("中央編譯")</f>
        <v>中央編譯</v>
      </c>
      <c r="H270" s="7" t="str">
        <f>T("20090501")</f>
        <v>20090501</v>
      </c>
      <c r="I270" s="7">
        <v>28</v>
      </c>
      <c r="J270" s="7">
        <v>168</v>
      </c>
      <c r="K270" s="9" t="s">
        <v>112</v>
      </c>
    </row>
    <row r="271" spans="1:11" x14ac:dyDescent="0.25">
      <c r="A271" s="5">
        <v>267</v>
      </c>
      <c r="B271" s="5">
        <v>172</v>
      </c>
      <c r="C271" s="10" t="s">
        <v>1042</v>
      </c>
      <c r="D271" s="7" t="s">
        <v>1611</v>
      </c>
      <c r="E271" s="8" t="str">
        <f>T("大愛無疆-&lt;&lt;墨子&gt;&gt;")</f>
        <v>大愛無疆-&lt;&lt;墨子&gt;&gt;</v>
      </c>
      <c r="F271" s="7" t="s">
        <v>2839</v>
      </c>
      <c r="G271" s="7" t="str">
        <f>T("中國民主")</f>
        <v>中國民主</v>
      </c>
      <c r="H271" s="7" t="str">
        <f>T("20100101")</f>
        <v>20100101</v>
      </c>
      <c r="I271" s="7">
        <v>31</v>
      </c>
      <c r="J271" s="7">
        <v>186</v>
      </c>
      <c r="K271" s="9" t="s">
        <v>112</v>
      </c>
    </row>
    <row r="272" spans="1:11" ht="28.5" x14ac:dyDescent="0.25">
      <c r="A272" s="5">
        <v>268</v>
      </c>
      <c r="B272" s="5">
        <v>173</v>
      </c>
      <c r="C272" s="10" t="s">
        <v>63</v>
      </c>
      <c r="D272" s="7" t="s">
        <v>1612</v>
      </c>
      <c r="E272" s="8" t="str">
        <f>T("鄭振鐸:中國俗文學史-民國時期影響國人的大師著作-(上下卷)")</f>
        <v>鄭振鐸:中國俗文學史-民國時期影響國人的大師著作-(上下卷)</v>
      </c>
      <c r="F272" s="7" t="s">
        <v>2830</v>
      </c>
      <c r="G272" s="7" t="str">
        <f>T("中國畫報")</f>
        <v>中國畫報</v>
      </c>
      <c r="H272" s="7" t="str">
        <f>T("20100501")</f>
        <v>20100501</v>
      </c>
      <c r="I272" s="7">
        <v>39.799999999999997</v>
      </c>
      <c r="J272" s="7">
        <v>239</v>
      </c>
      <c r="K272" s="9" t="s">
        <v>112</v>
      </c>
    </row>
    <row r="273" spans="1:11" ht="28.5" x14ac:dyDescent="0.25">
      <c r="A273" s="5">
        <v>269</v>
      </c>
      <c r="B273" s="5">
        <v>174</v>
      </c>
      <c r="C273" s="10" t="s">
        <v>1070</v>
      </c>
      <c r="D273" s="7" t="s">
        <v>1613</v>
      </c>
      <c r="E273" s="8" t="str">
        <f>T("資治通鑒（第七輯.五代十國）（20、21）-文白對照全譯")</f>
        <v>資治通鑒（第七輯.五代十國）（20、21）-文白對照全譯</v>
      </c>
      <c r="F273" s="7" t="s">
        <v>2840</v>
      </c>
      <c r="G273" s="7" t="str">
        <f>T("新世界")</f>
        <v>新世界</v>
      </c>
      <c r="H273" s="7" t="str">
        <f>T("20090301")</f>
        <v>20090301</v>
      </c>
      <c r="I273" s="7">
        <v>98</v>
      </c>
      <c r="J273" s="7">
        <v>588</v>
      </c>
      <c r="K273" s="9" t="s">
        <v>112</v>
      </c>
    </row>
    <row r="274" spans="1:11" ht="28.5" x14ac:dyDescent="0.25">
      <c r="A274" s="5">
        <v>270</v>
      </c>
      <c r="B274" s="5">
        <v>175</v>
      </c>
      <c r="C274" s="10" t="s">
        <v>1072</v>
      </c>
      <c r="D274" s="7" t="s">
        <v>1614</v>
      </c>
      <c r="E274" s="8" t="str">
        <f>T("殖民與先鋒：中國痛苦——三位女性對殖民地香港的文學解讀（文學")</f>
        <v>殖民與先鋒：中國痛苦——三位女性對殖民地香港的文學解讀（文學</v>
      </c>
      <c r="F274" s="7" t="s">
        <v>2841</v>
      </c>
      <c r="G274" s="7" t="str">
        <f>T("社科文獻")</f>
        <v>社科文獻</v>
      </c>
      <c r="H274" s="7" t="str">
        <f>T("20060101")</f>
        <v>20060101</v>
      </c>
      <c r="I274" s="7">
        <v>29</v>
      </c>
      <c r="J274" s="7">
        <v>174</v>
      </c>
      <c r="K274" s="9" t="s">
        <v>112</v>
      </c>
    </row>
    <row r="275" spans="1:11" x14ac:dyDescent="0.25">
      <c r="A275" s="5">
        <v>271</v>
      </c>
      <c r="B275" s="5">
        <v>176</v>
      </c>
      <c r="C275" s="10" t="s">
        <v>1073</v>
      </c>
      <c r="D275" s="7" t="s">
        <v>1615</v>
      </c>
      <c r="E275" s="8" t="str">
        <f>T("林語堂與中國文化")</f>
        <v>林語堂與中國文化</v>
      </c>
      <c r="F275" s="7" t="s">
        <v>2842</v>
      </c>
      <c r="G275" s="7" t="str">
        <f>T("社科文獻")</f>
        <v>社科文獻</v>
      </c>
      <c r="H275" s="7" t="str">
        <f>T("20071201")</f>
        <v>20071201</v>
      </c>
      <c r="I275" s="7">
        <v>45</v>
      </c>
      <c r="J275" s="7">
        <v>270</v>
      </c>
      <c r="K275" s="9" t="s">
        <v>1320</v>
      </c>
    </row>
    <row r="276" spans="1:11" ht="28.5" x14ac:dyDescent="0.25">
      <c r="A276" s="5">
        <v>272</v>
      </c>
      <c r="B276" s="5">
        <v>177</v>
      </c>
      <c r="C276" s="10" t="s">
        <v>1093</v>
      </c>
      <c r="D276" s="7" t="s">
        <v>1616</v>
      </c>
      <c r="E276" s="8" t="str">
        <f>T("中國文學史資料全編.現代卷·創造社資料(上下)")</f>
        <v>中國文學史資料全編.現代卷·創造社資料(上下)</v>
      </c>
      <c r="F276" s="7" t="s">
        <v>2843</v>
      </c>
      <c r="G276" s="7" t="str">
        <f>T("知識產權")</f>
        <v>知識產權</v>
      </c>
      <c r="H276" s="7" t="str">
        <f>T("20100101")</f>
        <v>20100101</v>
      </c>
      <c r="I276" s="7">
        <v>127</v>
      </c>
      <c r="J276" s="7">
        <v>762</v>
      </c>
      <c r="K276" s="9" t="s">
        <v>112</v>
      </c>
    </row>
    <row r="277" spans="1:11" x14ac:dyDescent="0.25">
      <c r="A277" s="5">
        <v>273</v>
      </c>
      <c r="B277" s="5">
        <v>178</v>
      </c>
      <c r="C277" s="10" t="s">
        <v>1107</v>
      </c>
      <c r="D277" s="7" t="s">
        <v>1617</v>
      </c>
      <c r="E277" s="8" t="str">
        <f>T("中國20世紀文學思潮論")</f>
        <v>中國20世紀文學思潮論</v>
      </c>
      <c r="F277" s="7" t="s">
        <v>2844</v>
      </c>
      <c r="G277" s="7" t="str">
        <f>T("甘肅人民")</f>
        <v>甘肅人民</v>
      </c>
      <c r="H277" s="7" t="str">
        <f>T("20090101")</f>
        <v>20090101</v>
      </c>
      <c r="I277" s="7">
        <v>36</v>
      </c>
      <c r="J277" s="7">
        <v>216</v>
      </c>
      <c r="K277" s="9" t="s">
        <v>1320</v>
      </c>
    </row>
    <row r="278" spans="1:11" x14ac:dyDescent="0.25">
      <c r="A278" s="5">
        <v>274</v>
      </c>
      <c r="B278" s="5">
        <v>179</v>
      </c>
      <c r="C278" s="10" t="s">
        <v>1108</v>
      </c>
      <c r="D278" s="7" t="s">
        <v>1618</v>
      </c>
      <c r="E278" s="8" t="str">
        <f>T("中國20世紀文學價值論")</f>
        <v>中國20世紀文學價值論</v>
      </c>
      <c r="F278" s="7" t="s">
        <v>2844</v>
      </c>
      <c r="G278" s="7" t="str">
        <f>T("甘肅人民")</f>
        <v>甘肅人民</v>
      </c>
      <c r="H278" s="7" t="str">
        <f>T("20090101")</f>
        <v>20090101</v>
      </c>
      <c r="I278" s="7">
        <v>30</v>
      </c>
      <c r="J278" s="7">
        <v>180</v>
      </c>
      <c r="K278" s="9" t="s">
        <v>112</v>
      </c>
    </row>
    <row r="279" spans="1:11" x14ac:dyDescent="0.25">
      <c r="A279" s="5">
        <v>275</v>
      </c>
      <c r="B279" s="5">
        <v>180</v>
      </c>
      <c r="C279" s="10" t="s">
        <v>1192</v>
      </c>
      <c r="D279" s="7" t="s">
        <v>1619</v>
      </c>
      <c r="E279" s="8" t="str">
        <f>T("知識份子與中國現代化")</f>
        <v>知識份子與中國現代化</v>
      </c>
      <c r="F279" s="7" t="s">
        <v>2845</v>
      </c>
      <c r="G279" s="7" t="str">
        <f>T("東方中心")</f>
        <v>東方中心</v>
      </c>
      <c r="H279" s="7" t="str">
        <f>T("20070801")</f>
        <v>20070801</v>
      </c>
      <c r="I279" s="7">
        <v>35</v>
      </c>
      <c r="J279" s="7">
        <v>210</v>
      </c>
      <c r="K279" s="9" t="s">
        <v>1320</v>
      </c>
    </row>
    <row r="280" spans="1:11" x14ac:dyDescent="0.25">
      <c r="A280" s="5">
        <v>276</v>
      </c>
      <c r="B280" s="5">
        <v>181</v>
      </c>
      <c r="C280" s="10" t="s">
        <v>1202</v>
      </c>
      <c r="D280" s="7" t="s">
        <v>1620</v>
      </c>
      <c r="E280" s="8" t="str">
        <f>T("宋明理學與中國文學-上.下冊")</f>
        <v>宋明理學與中國文學-上.下冊</v>
      </c>
      <c r="F280" s="7" t="s">
        <v>2846</v>
      </c>
      <c r="G280" s="7" t="str">
        <f>T("百花洲文藝")</f>
        <v>百花洲文藝</v>
      </c>
      <c r="H280" s="7" t="str">
        <f>T("20100501")</f>
        <v>20100501</v>
      </c>
      <c r="I280" s="7">
        <v>49.6</v>
      </c>
      <c r="J280" s="7">
        <v>298</v>
      </c>
      <c r="K280" s="9" t="s">
        <v>1320</v>
      </c>
    </row>
    <row r="281" spans="1:11" x14ac:dyDescent="0.25">
      <c r="A281" s="5">
        <v>277</v>
      </c>
      <c r="B281" s="5">
        <v>182</v>
      </c>
      <c r="C281" s="10" t="s">
        <v>1201</v>
      </c>
      <c r="D281" s="7" t="s">
        <v>1621</v>
      </c>
      <c r="E281" s="8" t="str">
        <f>T("清代朴學與中國文學-上.下冊")</f>
        <v>清代朴學與中國文學-上.下冊</v>
      </c>
      <c r="F281" s="7" t="s">
        <v>2847</v>
      </c>
      <c r="G281" s="7" t="str">
        <f>T("百花洲文藝")</f>
        <v>百花洲文藝</v>
      </c>
      <c r="H281" s="7" t="str">
        <f>T("20100501")</f>
        <v>20100501</v>
      </c>
      <c r="I281" s="7">
        <v>49</v>
      </c>
      <c r="J281" s="7">
        <v>294</v>
      </c>
      <c r="K281" s="9" t="s">
        <v>1320</v>
      </c>
    </row>
    <row r="282" spans="1:11" x14ac:dyDescent="0.25">
      <c r="A282" s="5">
        <v>278</v>
      </c>
      <c r="B282" s="5">
        <v>183</v>
      </c>
      <c r="C282" s="10" t="s">
        <v>1203</v>
      </c>
      <c r="D282" s="7" t="s">
        <v>1622</v>
      </c>
      <c r="E282" s="8" t="str">
        <f>T("近代西學與中國文學-上.下冊")</f>
        <v>近代西學與中國文學-上.下冊</v>
      </c>
      <c r="F282" s="7" t="s">
        <v>2848</v>
      </c>
      <c r="G282" s="7" t="str">
        <f>T("百花洲文藝")</f>
        <v>百花洲文藝</v>
      </c>
      <c r="H282" s="7" t="str">
        <f>T("20100501")</f>
        <v>20100501</v>
      </c>
      <c r="I282" s="7">
        <v>52</v>
      </c>
      <c r="J282" s="7">
        <v>312</v>
      </c>
      <c r="K282" s="9" t="s">
        <v>1320</v>
      </c>
    </row>
    <row r="283" spans="1:11" x14ac:dyDescent="0.25">
      <c r="A283" s="5">
        <v>279</v>
      </c>
      <c r="B283" s="5">
        <v>184</v>
      </c>
      <c r="C283" s="10" t="s">
        <v>1204</v>
      </c>
      <c r="D283" s="7" t="s">
        <v>1623</v>
      </c>
      <c r="E283" s="8" t="str">
        <f>T("兩漢經學與中國文學(上下)")</f>
        <v>兩漢經學與中國文學(上下)</v>
      </c>
      <c r="F283" s="7" t="s">
        <v>2849</v>
      </c>
      <c r="G283" s="7" t="str">
        <f>T("百花洲文藝")</f>
        <v>百花洲文藝</v>
      </c>
      <c r="H283" s="7" t="str">
        <f>T("20100501")</f>
        <v>20100501</v>
      </c>
      <c r="I283" s="7">
        <v>59.4</v>
      </c>
      <c r="J283" s="7">
        <v>356</v>
      </c>
      <c r="K283" s="9" t="s">
        <v>1320</v>
      </c>
    </row>
    <row r="284" spans="1:11" x14ac:dyDescent="0.25">
      <c r="A284" s="5">
        <v>280</v>
      </c>
      <c r="B284" s="5">
        <v>185</v>
      </c>
      <c r="C284" s="10" t="s">
        <v>1208</v>
      </c>
      <c r="D284" s="7" t="s">
        <v>1624</v>
      </c>
      <c r="E284" s="8" t="str">
        <f>T("中國現代文學的巴蜀視野")</f>
        <v>中國現代文學的巴蜀視野</v>
      </c>
      <c r="F284" s="7" t="s">
        <v>2850</v>
      </c>
      <c r="G284" s="7" t="str">
        <f>T("巴蜀書社")</f>
        <v>巴蜀書社</v>
      </c>
      <c r="H284" s="7" t="str">
        <f>T("20060601")</f>
        <v>20060601</v>
      </c>
      <c r="I284" s="7">
        <v>36</v>
      </c>
      <c r="J284" s="7">
        <v>216</v>
      </c>
      <c r="K284" s="9" t="s">
        <v>112</v>
      </c>
    </row>
    <row r="285" spans="1:11" ht="28.5" x14ac:dyDescent="0.25">
      <c r="A285" s="5">
        <v>281</v>
      </c>
      <c r="B285" s="5">
        <v>186</v>
      </c>
      <c r="C285" s="10" t="s">
        <v>1212</v>
      </c>
      <c r="D285" s="7" t="s">
        <v>1625</v>
      </c>
      <c r="E285" s="8" t="str">
        <f>T("20世紀70年代以來的村落變遷-江家堰村調查")</f>
        <v>20世紀70年代以來的村落變遷-江家堰村調查</v>
      </c>
      <c r="F285" s="7" t="s">
        <v>2851</v>
      </c>
      <c r="G285" s="7" t="str">
        <f>T("巴蜀書社")</f>
        <v>巴蜀書社</v>
      </c>
      <c r="H285" s="7" t="str">
        <f>T("20061101")</f>
        <v>20061101</v>
      </c>
      <c r="I285" s="7">
        <v>22</v>
      </c>
      <c r="J285" s="7">
        <v>132</v>
      </c>
      <c r="K285" s="9" t="s">
        <v>112</v>
      </c>
    </row>
    <row r="286" spans="1:11" x14ac:dyDescent="0.25">
      <c r="A286" s="5">
        <v>282</v>
      </c>
      <c r="B286" s="5">
        <v>187</v>
      </c>
      <c r="C286" s="10" t="s">
        <v>1223</v>
      </c>
      <c r="D286" s="7" t="s">
        <v>1626</v>
      </c>
      <c r="E286" s="8" t="str">
        <f>T("新中國古籍整理圖書總目錄")</f>
        <v>新中國古籍整理圖書總目錄</v>
      </c>
      <c r="F286" s="7" t="s">
        <v>2852</v>
      </c>
      <c r="G286" s="7" t="str">
        <f>T("嶽麓書社")</f>
        <v>嶽麓書社</v>
      </c>
      <c r="H286" s="7" t="str">
        <f>T("20070101")</f>
        <v>20070101</v>
      </c>
      <c r="I286" s="7">
        <v>150</v>
      </c>
      <c r="J286" s="7">
        <v>900</v>
      </c>
      <c r="K286" s="9" t="s">
        <v>112</v>
      </c>
    </row>
    <row r="287" spans="1:11" x14ac:dyDescent="0.25">
      <c r="A287" s="5">
        <v>283</v>
      </c>
      <c r="B287" s="5">
        <v>188</v>
      </c>
      <c r="C287" s="10" t="s">
        <v>1224</v>
      </c>
      <c r="D287" s="7" t="s">
        <v>1627</v>
      </c>
      <c r="E287" s="8" t="str">
        <f>T("社會史視角下的近代湖湘文化")</f>
        <v>社會史視角下的近代湖湘文化</v>
      </c>
      <c r="F287" s="7" t="s">
        <v>2853</v>
      </c>
      <c r="G287" s="7" t="str">
        <f>T("嶽麓書社")</f>
        <v>嶽麓書社</v>
      </c>
      <c r="H287" s="7" t="str">
        <f>T("20061101")</f>
        <v>20061101</v>
      </c>
      <c r="I287" s="7">
        <v>18</v>
      </c>
      <c r="J287" s="7">
        <v>108</v>
      </c>
      <c r="K287" s="9" t="s">
        <v>112</v>
      </c>
    </row>
    <row r="288" spans="1:11" x14ac:dyDescent="0.25">
      <c r="A288" s="5">
        <v>284</v>
      </c>
      <c r="B288" s="5">
        <v>189</v>
      </c>
      <c r="C288" s="10" t="s">
        <v>1246</v>
      </c>
      <c r="D288" s="7" t="s">
        <v>1628</v>
      </c>
      <c r="E288" s="8" t="str">
        <f>T("國學答問：圖文本")</f>
        <v>國學答問：圖文本</v>
      </c>
      <c r="F288" s="7" t="s">
        <v>2854</v>
      </c>
      <c r="G288" s="7" t="str">
        <f>T("廣陵書社")</f>
        <v>廣陵書社</v>
      </c>
      <c r="H288" s="7" t="str">
        <f>T("20071201")</f>
        <v>20071201</v>
      </c>
      <c r="I288" s="7">
        <v>28</v>
      </c>
      <c r="J288" s="7">
        <v>168</v>
      </c>
      <c r="K288" s="9" t="s">
        <v>1320</v>
      </c>
    </row>
    <row r="289" spans="1:11" x14ac:dyDescent="0.25">
      <c r="A289" s="5">
        <v>285</v>
      </c>
      <c r="B289" s="5">
        <v>190</v>
      </c>
      <c r="C289" s="10" t="s">
        <v>1247</v>
      </c>
      <c r="D289" s="7" t="s">
        <v>1629</v>
      </c>
      <c r="E289" s="8" t="str">
        <f>T("群書考索(上下)")</f>
        <v>群書考索(上下)</v>
      </c>
      <c r="F289" s="7" t="s">
        <v>2855</v>
      </c>
      <c r="G289" s="7" t="str">
        <f>T("廣陵書社")</f>
        <v>廣陵書社</v>
      </c>
      <c r="H289" s="7" t="str">
        <f>T("20081001")</f>
        <v>20081001</v>
      </c>
      <c r="I289" s="7">
        <v>350</v>
      </c>
      <c r="J289" s="7">
        <v>2100</v>
      </c>
      <c r="K289" s="9" t="s">
        <v>112</v>
      </c>
    </row>
    <row r="290" spans="1:11" x14ac:dyDescent="0.25">
      <c r="A290" s="5">
        <v>286</v>
      </c>
      <c r="B290" s="5">
        <v>191</v>
      </c>
      <c r="C290" s="10" t="s">
        <v>1254</v>
      </c>
      <c r="D290" s="7" t="s">
        <v>1630</v>
      </c>
      <c r="E290" s="8" t="str">
        <f>T("浦江清中國文學史講義.宋元部份")</f>
        <v>浦江清中國文學史講義.宋元部份</v>
      </c>
      <c r="F290" s="7" t="s">
        <v>2856</v>
      </c>
      <c r="G290" s="7" t="str">
        <f>T("天津古籍")</f>
        <v>天津古籍</v>
      </c>
      <c r="H290" s="7" t="str">
        <f>T("20090501")</f>
        <v>20090501</v>
      </c>
      <c r="I290" s="7">
        <v>28</v>
      </c>
      <c r="J290" s="7">
        <v>168</v>
      </c>
      <c r="K290" s="9" t="s">
        <v>112</v>
      </c>
    </row>
    <row r="291" spans="1:11" ht="28.5" x14ac:dyDescent="0.25">
      <c r="A291" s="5">
        <v>287</v>
      </c>
      <c r="B291" s="5">
        <v>192</v>
      </c>
      <c r="C291" s="10" t="s">
        <v>1256</v>
      </c>
      <c r="D291" s="7" t="s">
        <v>1631</v>
      </c>
      <c r="E291" s="8" t="str">
        <f>T("浦江清中國文學史講義. 明清部分(《名師講義》叢書)")</f>
        <v>浦江清中國文學史講義. 明清部分(《名師講義》叢書)</v>
      </c>
      <c r="F291" s="7" t="s">
        <v>2857</v>
      </c>
      <c r="G291" s="7" t="str">
        <f>T("天津古籍")</f>
        <v>天津古籍</v>
      </c>
      <c r="H291" s="7" t="str">
        <f>T("20090501")</f>
        <v>20090501</v>
      </c>
      <c r="I291" s="7">
        <v>27</v>
      </c>
      <c r="J291" s="7">
        <v>162</v>
      </c>
      <c r="K291" s="9" t="s">
        <v>1320</v>
      </c>
    </row>
    <row r="292" spans="1:11" x14ac:dyDescent="0.25">
      <c r="A292" s="5">
        <v>288</v>
      </c>
      <c r="B292" s="5">
        <v>193</v>
      </c>
      <c r="C292" s="10" t="s">
        <v>1258</v>
      </c>
      <c r="D292" s="7" t="s">
        <v>1632</v>
      </c>
      <c r="E292" s="8" t="str">
        <f>T("張澍研究")</f>
        <v>張澍研究</v>
      </c>
      <c r="F292" s="7" t="s">
        <v>2858</v>
      </c>
      <c r="G292" s="7" t="str">
        <f>T("天津古籍")</f>
        <v>天津古籍</v>
      </c>
      <c r="H292" s="7" t="str">
        <f>T("20090601")</f>
        <v>20090601</v>
      </c>
      <c r="I292" s="7">
        <v>24</v>
      </c>
      <c r="J292" s="7">
        <v>144</v>
      </c>
      <c r="K292" s="9" t="s">
        <v>1320</v>
      </c>
    </row>
    <row r="293" spans="1:11" x14ac:dyDescent="0.25">
      <c r="A293" s="5">
        <v>289</v>
      </c>
      <c r="B293" s="5">
        <v>194</v>
      </c>
      <c r="C293" s="10" t="s">
        <v>1281</v>
      </c>
      <c r="D293" s="7" t="s">
        <v>1633</v>
      </c>
      <c r="E293" s="8" t="str">
        <f>T("鄭振鐸講文學(近代學術名家大講堂)")</f>
        <v>鄭振鐸講文學(近代學術名家大講堂)</v>
      </c>
      <c r="F293" s="7" t="s">
        <v>2724</v>
      </c>
      <c r="G293" s="7" t="str">
        <f>T("鳳凰")</f>
        <v>鳳凰</v>
      </c>
      <c r="H293" s="7" t="str">
        <f>T("20090401")</f>
        <v>20090401</v>
      </c>
      <c r="I293" s="7">
        <v>22</v>
      </c>
      <c r="J293" s="7">
        <v>132</v>
      </c>
      <c r="K293" s="9" t="s">
        <v>112</v>
      </c>
    </row>
    <row r="294" spans="1:11" x14ac:dyDescent="0.25">
      <c r="A294" s="5">
        <v>290</v>
      </c>
      <c r="B294" s="5">
        <v>195</v>
      </c>
      <c r="C294" s="10" t="s">
        <v>1291</v>
      </c>
      <c r="D294" s="7" t="s">
        <v>1634</v>
      </c>
      <c r="E294" s="8" t="str">
        <f>T("北齊北周文補遺")</f>
        <v>北齊北周文補遺</v>
      </c>
      <c r="F294" s="7" t="s">
        <v>2859</v>
      </c>
      <c r="G294" s="7" t="str">
        <f>T("三秦")</f>
        <v>三秦</v>
      </c>
      <c r="H294" s="7" t="str">
        <f>T("20080601")</f>
        <v>20080601</v>
      </c>
      <c r="I294" s="7">
        <v>98</v>
      </c>
      <c r="J294" s="7">
        <v>588</v>
      </c>
      <c r="K294" s="9" t="s">
        <v>112</v>
      </c>
    </row>
    <row r="295" spans="1:11" ht="28.5" x14ac:dyDescent="0.25">
      <c r="A295" s="5">
        <v>291</v>
      </c>
      <c r="B295" s="5">
        <v>196</v>
      </c>
      <c r="C295" s="10" t="s">
        <v>1137</v>
      </c>
      <c r="D295" s="7" t="s">
        <v>1635</v>
      </c>
      <c r="E295" s="8" t="str">
        <f>T("中國古代文論與文獻探微(比較文學與文藝學叢書)")</f>
        <v>中國古代文論與文獻探微(比較文學與文藝學叢書)</v>
      </c>
      <c r="F295" s="7" t="s">
        <v>2860</v>
      </c>
      <c r="G295" s="7" t="str">
        <f t="shared" ref="G295:G303" si="14">T("巴蜀書社")</f>
        <v>巴蜀書社</v>
      </c>
      <c r="H295" s="7" t="str">
        <f>T("20080901")</f>
        <v>20080901</v>
      </c>
      <c r="I295" s="7">
        <v>29</v>
      </c>
      <c r="J295" s="7">
        <v>174</v>
      </c>
      <c r="K295" s="9" t="s">
        <v>112</v>
      </c>
    </row>
    <row r="296" spans="1:11" x14ac:dyDescent="0.25">
      <c r="A296" s="5">
        <v>292</v>
      </c>
      <c r="B296" s="5">
        <v>197</v>
      </c>
      <c r="C296" s="10" t="s">
        <v>1138</v>
      </c>
      <c r="D296" s="7" t="s">
        <v>1636</v>
      </c>
      <c r="E296" s="8" t="s">
        <v>1324</v>
      </c>
      <c r="F296" s="7" t="s">
        <v>2861</v>
      </c>
      <c r="G296" s="7" t="str">
        <f t="shared" si="14"/>
        <v>巴蜀書社</v>
      </c>
      <c r="H296" s="7" t="str">
        <f>T("20090801")</f>
        <v>20090801</v>
      </c>
      <c r="I296" s="7">
        <v>30</v>
      </c>
      <c r="J296" s="7">
        <v>180</v>
      </c>
      <c r="K296" s="9" t="s">
        <v>112</v>
      </c>
    </row>
    <row r="297" spans="1:11" x14ac:dyDescent="0.25">
      <c r="A297" s="5">
        <v>293</v>
      </c>
      <c r="B297" s="5">
        <v>198</v>
      </c>
      <c r="C297" s="10" t="s">
        <v>1139</v>
      </c>
      <c r="D297" s="7" t="s">
        <v>1637</v>
      </c>
      <c r="E297" s="8" t="str">
        <f>T("兩唐書列傳辭彙比較研究")</f>
        <v>兩唐書列傳辭彙比較研究</v>
      </c>
      <c r="F297" s="7" t="s">
        <v>2862</v>
      </c>
      <c r="G297" s="7" t="str">
        <f t="shared" si="14"/>
        <v>巴蜀書社</v>
      </c>
      <c r="H297" s="7" t="str">
        <f>T("20090701")</f>
        <v>20090701</v>
      </c>
      <c r="I297" s="7">
        <v>26</v>
      </c>
      <c r="J297" s="7">
        <v>156</v>
      </c>
      <c r="K297" s="9" t="s">
        <v>112</v>
      </c>
    </row>
    <row r="298" spans="1:11" x14ac:dyDescent="0.25">
      <c r="A298" s="5">
        <v>294</v>
      </c>
      <c r="B298" s="5">
        <v>199</v>
      </c>
      <c r="C298" s="10" t="s">
        <v>259</v>
      </c>
      <c r="D298" s="7" t="s">
        <v>1638</v>
      </c>
      <c r="E298" s="8" t="str">
        <f>T("五四文學的生成與可能")</f>
        <v>五四文學的生成與可能</v>
      </c>
      <c r="F298" s="7" t="s">
        <v>2863</v>
      </c>
      <c r="G298" s="7" t="str">
        <f t="shared" si="14"/>
        <v>巴蜀書社</v>
      </c>
      <c r="H298" s="7" t="str">
        <f>T("20090601")</f>
        <v>20090601</v>
      </c>
      <c r="I298" s="7">
        <v>25</v>
      </c>
      <c r="J298" s="7">
        <v>150</v>
      </c>
      <c r="K298" s="9" t="s">
        <v>112</v>
      </c>
    </row>
    <row r="299" spans="1:11" x14ac:dyDescent="0.25">
      <c r="A299" s="5">
        <v>295</v>
      </c>
      <c r="B299" s="5">
        <v>200</v>
      </c>
      <c r="C299" s="10" t="s">
        <v>102</v>
      </c>
      <c r="D299" s="7" t="s">
        <v>1639</v>
      </c>
      <c r="E299" s="8" t="str">
        <f>T("先秦思想劄記")</f>
        <v>先秦思想劄記</v>
      </c>
      <c r="F299" s="7" t="s">
        <v>2864</v>
      </c>
      <c r="G299" s="7" t="str">
        <f t="shared" si="14"/>
        <v>巴蜀書社</v>
      </c>
      <c r="H299" s="7" t="str">
        <f>T("20091201")</f>
        <v>20091201</v>
      </c>
      <c r="I299" s="7">
        <v>46</v>
      </c>
      <c r="J299" s="7">
        <v>276</v>
      </c>
      <c r="K299" s="9" t="s">
        <v>1320</v>
      </c>
    </row>
    <row r="300" spans="1:11" x14ac:dyDescent="0.25">
      <c r="A300" s="5">
        <v>296</v>
      </c>
      <c r="B300" s="5">
        <v>201</v>
      </c>
      <c r="C300" s="10" t="s">
        <v>1142</v>
      </c>
      <c r="D300" s="7" t="s">
        <v>1640</v>
      </c>
      <c r="E300" s="8" t="str">
        <f>T("《三國志》同義詞及其歷時演變研究")</f>
        <v>《三國志》同義詞及其歷時演變研究</v>
      </c>
      <c r="F300" s="7" t="s">
        <v>2865</v>
      </c>
      <c r="G300" s="7" t="str">
        <f t="shared" si="14"/>
        <v>巴蜀書社</v>
      </c>
      <c r="H300" s="7" t="str">
        <f>T("20100201")</f>
        <v>20100201</v>
      </c>
      <c r="I300" s="7">
        <v>58</v>
      </c>
      <c r="J300" s="7">
        <v>348</v>
      </c>
      <c r="K300" s="9" t="s">
        <v>112</v>
      </c>
    </row>
    <row r="301" spans="1:11" x14ac:dyDescent="0.25">
      <c r="A301" s="5">
        <v>297</v>
      </c>
      <c r="B301" s="5">
        <v>202</v>
      </c>
      <c r="C301" s="10" t="s">
        <v>1144</v>
      </c>
      <c r="D301" s="7" t="s">
        <v>1641</v>
      </c>
      <c r="E301" s="8" t="str">
        <f>T("四庫唐人文集研究")</f>
        <v>四庫唐人文集研究</v>
      </c>
      <c r="F301" s="7" t="s">
        <v>2866</v>
      </c>
      <c r="G301" s="7" t="str">
        <f t="shared" si="14"/>
        <v>巴蜀書社</v>
      </c>
      <c r="H301" s="7" t="str">
        <f>T("20100301")</f>
        <v>20100301</v>
      </c>
      <c r="I301" s="7">
        <v>28</v>
      </c>
      <c r="J301" s="7">
        <v>168</v>
      </c>
      <c r="K301" s="9" t="s">
        <v>112</v>
      </c>
    </row>
    <row r="302" spans="1:11" x14ac:dyDescent="0.25">
      <c r="A302" s="5">
        <v>298</v>
      </c>
      <c r="B302" s="5">
        <v>203</v>
      </c>
      <c r="C302" s="10" t="s">
        <v>1145</v>
      </c>
      <c r="D302" s="7" t="s">
        <v>1642</v>
      </c>
      <c r="E302" s="8" t="str">
        <f>T("六朝文學與文獻")</f>
        <v>六朝文學與文獻</v>
      </c>
      <c r="F302" s="7" t="s">
        <v>2867</v>
      </c>
      <c r="G302" s="7" t="str">
        <f t="shared" si="14"/>
        <v>巴蜀書社</v>
      </c>
      <c r="H302" s="7" t="str">
        <f>T("20100301")</f>
        <v>20100301</v>
      </c>
      <c r="I302" s="7">
        <v>25</v>
      </c>
      <c r="J302" s="7">
        <v>150</v>
      </c>
      <c r="K302" s="9" t="s">
        <v>112</v>
      </c>
    </row>
    <row r="303" spans="1:11" x14ac:dyDescent="0.25">
      <c r="A303" s="5">
        <v>299</v>
      </c>
      <c r="B303" s="5">
        <v>204</v>
      </c>
      <c r="C303" s="10" t="s">
        <v>1146</v>
      </c>
      <c r="D303" s="7" t="s">
        <v>1643</v>
      </c>
      <c r="E303" s="8" t="str">
        <f>T("文史蠡測")</f>
        <v>文史蠡測</v>
      </c>
      <c r="F303" s="7" t="s">
        <v>2868</v>
      </c>
      <c r="G303" s="7" t="str">
        <f t="shared" si="14"/>
        <v>巴蜀書社</v>
      </c>
      <c r="H303" s="7" t="str">
        <f>T("20100901")</f>
        <v>20100901</v>
      </c>
      <c r="I303" s="7">
        <v>12</v>
      </c>
      <c r="J303" s="7">
        <v>72</v>
      </c>
      <c r="K303" s="9" t="s">
        <v>112</v>
      </c>
    </row>
    <row r="304" spans="1:11" ht="28.5" x14ac:dyDescent="0.25">
      <c r="A304" s="5">
        <v>300</v>
      </c>
      <c r="B304" s="5">
        <v>205</v>
      </c>
      <c r="C304" s="10" t="s">
        <v>1157</v>
      </c>
      <c r="D304" s="7" t="s">
        <v>1644</v>
      </c>
      <c r="E304" s="8" t="str">
        <f>T("義理與考據: 清中期《禮記》詮釋的兩種策略")</f>
        <v>義理與考據: 清中期《禮記》詮釋的兩種策略</v>
      </c>
      <c r="F304" s="7" t="s">
        <v>2869</v>
      </c>
      <c r="G304" s="7" t="str">
        <f>T("嶽麓書社")</f>
        <v>嶽麓書社</v>
      </c>
      <c r="H304" s="7" t="str">
        <f>T("20090801")</f>
        <v>20090801</v>
      </c>
      <c r="I304" s="7">
        <v>20</v>
      </c>
      <c r="J304" s="7">
        <v>120</v>
      </c>
      <c r="K304" s="9" t="s">
        <v>112</v>
      </c>
    </row>
    <row r="305" spans="1:11" x14ac:dyDescent="0.25">
      <c r="A305" s="5">
        <v>301</v>
      </c>
      <c r="B305" s="5">
        <v>206</v>
      </c>
      <c r="C305" s="10" t="s">
        <v>1158</v>
      </c>
      <c r="D305" s="7" t="s">
        <v>1645</v>
      </c>
      <c r="E305" s="8" t="str">
        <f>T("中國近三百年學術史")</f>
        <v>中國近三百年學術史</v>
      </c>
      <c r="F305" s="7" t="s">
        <v>2694</v>
      </c>
      <c r="G305" s="7" t="str">
        <f>T("嶽麓書社")</f>
        <v>嶽麓書社</v>
      </c>
      <c r="H305" s="7" t="str">
        <f>T("20100101")</f>
        <v>20100101</v>
      </c>
      <c r="I305" s="7">
        <v>31</v>
      </c>
      <c r="J305" s="7">
        <v>186</v>
      </c>
      <c r="K305" s="9" t="s">
        <v>112</v>
      </c>
    </row>
    <row r="306" spans="1:11" x14ac:dyDescent="0.25">
      <c r="A306" s="5">
        <v>302</v>
      </c>
      <c r="B306" s="5">
        <v>207</v>
      </c>
      <c r="C306" s="10" t="s">
        <v>1160</v>
      </c>
      <c r="D306" s="7" t="s">
        <v>1646</v>
      </c>
      <c r="E306" s="8" t="str">
        <f>T("唐代社會概論．宋代太學生救國運動")</f>
        <v>唐代社會概論．宋代太學生救國運動</v>
      </c>
      <c r="F306" s="7" t="s">
        <v>2870</v>
      </c>
      <c r="G306" s="7" t="str">
        <f>T("吉林出版")</f>
        <v>吉林出版</v>
      </c>
      <c r="H306" s="7" t="str">
        <f>T("20091101")</f>
        <v>20091101</v>
      </c>
      <c r="I306" s="7">
        <v>42</v>
      </c>
      <c r="J306" s="7">
        <v>252</v>
      </c>
      <c r="K306" s="9" t="s">
        <v>112</v>
      </c>
    </row>
    <row r="307" spans="1:11" x14ac:dyDescent="0.25">
      <c r="A307" s="5">
        <v>303</v>
      </c>
      <c r="B307" s="5">
        <v>208</v>
      </c>
      <c r="C307" s="10" t="s">
        <v>1162</v>
      </c>
      <c r="D307" s="7" t="s">
        <v>1647</v>
      </c>
      <c r="E307" s="8" t="str">
        <f>T("萬榮古今名人")</f>
        <v>萬榮古今名人</v>
      </c>
      <c r="F307" s="7" t="s">
        <v>2871</v>
      </c>
      <c r="G307" s="7" t="str">
        <f>T("山西經濟")</f>
        <v>山西經濟</v>
      </c>
      <c r="H307" s="7" t="str">
        <f>T("20110101")</f>
        <v>20110101</v>
      </c>
      <c r="I307" s="7">
        <v>28</v>
      </c>
      <c r="J307" s="7">
        <v>168</v>
      </c>
      <c r="K307" s="9" t="s">
        <v>1320</v>
      </c>
    </row>
    <row r="308" spans="1:11" x14ac:dyDescent="0.25">
      <c r="A308" s="5">
        <v>304</v>
      </c>
      <c r="B308" s="5">
        <v>209</v>
      </c>
      <c r="C308" s="10" t="s">
        <v>1164</v>
      </c>
      <c r="D308" s="7" t="s">
        <v>1648</v>
      </c>
      <c r="E308" s="8" t="str">
        <f>T("揚州文選")</f>
        <v>揚州文選</v>
      </c>
      <c r="F308" s="7" t="s">
        <v>2872</v>
      </c>
      <c r="G308" s="7" t="str">
        <f>T("蘇州大學")</f>
        <v>蘇州大學</v>
      </c>
      <c r="H308" s="7" t="str">
        <f>T("20011201")</f>
        <v>20011201</v>
      </c>
      <c r="I308" s="7">
        <v>15</v>
      </c>
      <c r="J308" s="7">
        <v>90</v>
      </c>
      <c r="K308" s="9" t="s">
        <v>112</v>
      </c>
    </row>
    <row r="309" spans="1:11" x14ac:dyDescent="0.25">
      <c r="A309" s="5">
        <v>305</v>
      </c>
      <c r="B309" s="5">
        <v>210</v>
      </c>
      <c r="C309" s="10" t="s">
        <v>1165</v>
      </c>
      <c r="D309" s="7" t="s">
        <v>1649</v>
      </c>
      <c r="E309" s="8" t="str">
        <f>T("中國考試通史˙先秦至隋唐五代卷")</f>
        <v>中國考試通史˙先秦至隋唐五代卷</v>
      </c>
      <c r="F309" s="7" t="s">
        <v>2873</v>
      </c>
      <c r="G309" s="7" t="str">
        <f t="shared" ref="G309:G314" si="15">T("首都師大")</f>
        <v>首都師大</v>
      </c>
      <c r="H309" s="7" t="str">
        <f>T("20081101")</f>
        <v>20081101</v>
      </c>
      <c r="I309" s="7">
        <v>192</v>
      </c>
      <c r="J309" s="7">
        <v>1152</v>
      </c>
      <c r="K309" s="9" t="s">
        <v>1320</v>
      </c>
    </row>
    <row r="310" spans="1:11" x14ac:dyDescent="0.25">
      <c r="A310" s="5">
        <v>306</v>
      </c>
      <c r="B310" s="5">
        <v>211</v>
      </c>
      <c r="C310" s="10" t="s">
        <v>1166</v>
      </c>
      <c r="D310" s="7" t="s">
        <v>1649</v>
      </c>
      <c r="E310" s="8" t="str">
        <f>T("中國考試通史˙宋遼金元卷")</f>
        <v>中國考試通史˙宋遼金元卷</v>
      </c>
      <c r="F310" s="7" t="s">
        <v>2873</v>
      </c>
      <c r="G310" s="7" t="str">
        <f t="shared" si="15"/>
        <v>首都師大</v>
      </c>
      <c r="H310" s="7" t="str">
        <f>T("20081101")</f>
        <v>20081101</v>
      </c>
      <c r="I310" s="7">
        <v>192</v>
      </c>
      <c r="J310" s="7">
        <v>1152</v>
      </c>
      <c r="K310" s="9" t="s">
        <v>1320</v>
      </c>
    </row>
    <row r="311" spans="1:11" x14ac:dyDescent="0.25">
      <c r="A311" s="5">
        <v>307</v>
      </c>
      <c r="B311" s="5">
        <v>212</v>
      </c>
      <c r="C311" s="10" t="s">
        <v>1167</v>
      </c>
      <c r="D311" s="7" t="s">
        <v>1649</v>
      </c>
      <c r="E311" s="8" t="str">
        <f>T("中國考試通史˙明清卷")</f>
        <v>中國考試通史˙明清卷</v>
      </c>
      <c r="F311" s="7" t="s">
        <v>2873</v>
      </c>
      <c r="G311" s="7" t="str">
        <f t="shared" si="15"/>
        <v>首都師大</v>
      </c>
      <c r="H311" s="7" t="str">
        <f>T("20081101")</f>
        <v>20081101</v>
      </c>
      <c r="I311" s="7">
        <v>192</v>
      </c>
      <c r="J311" s="7">
        <v>1152</v>
      </c>
      <c r="K311" s="9" t="s">
        <v>1320</v>
      </c>
    </row>
    <row r="312" spans="1:11" x14ac:dyDescent="0.25">
      <c r="A312" s="5">
        <v>308</v>
      </c>
      <c r="B312" s="5">
        <v>213</v>
      </c>
      <c r="C312" s="10" t="s">
        <v>1168</v>
      </c>
      <c r="D312" s="7" t="s">
        <v>1649</v>
      </c>
      <c r="E312" s="8" t="str">
        <f>T("中國考試通史˙民國卷")</f>
        <v>中國考試通史˙民國卷</v>
      </c>
      <c r="F312" s="7" t="s">
        <v>2873</v>
      </c>
      <c r="G312" s="7" t="str">
        <f t="shared" si="15"/>
        <v>首都師大</v>
      </c>
      <c r="H312" s="7" t="str">
        <f>T("20081101")</f>
        <v>20081101</v>
      </c>
      <c r="I312" s="7">
        <v>192</v>
      </c>
      <c r="J312" s="7">
        <v>1152</v>
      </c>
      <c r="K312" s="9" t="s">
        <v>1320</v>
      </c>
    </row>
    <row r="313" spans="1:11" x14ac:dyDescent="0.25">
      <c r="A313" s="5">
        <v>309</v>
      </c>
      <c r="B313" s="5">
        <v>214</v>
      </c>
      <c r="C313" s="10" t="s">
        <v>1169</v>
      </c>
      <c r="D313" s="7" t="s">
        <v>1649</v>
      </c>
      <c r="E313" s="8" t="str">
        <f>T("中國考試通史˙當代卷")</f>
        <v>中國考試通史˙當代卷</v>
      </c>
      <c r="F313" s="7" t="s">
        <v>2873</v>
      </c>
      <c r="G313" s="7" t="str">
        <f t="shared" si="15"/>
        <v>首都師大</v>
      </c>
      <c r="H313" s="7" t="str">
        <f>T("20081101")</f>
        <v>20081101</v>
      </c>
      <c r="I313" s="7">
        <v>192</v>
      </c>
      <c r="J313" s="7">
        <v>1152</v>
      </c>
      <c r="K313" s="9" t="s">
        <v>1320</v>
      </c>
    </row>
    <row r="314" spans="1:11" x14ac:dyDescent="0.25">
      <c r="A314" s="5">
        <v>310</v>
      </c>
      <c r="B314" s="5">
        <v>215</v>
      </c>
      <c r="C314" s="10" t="s">
        <v>1170</v>
      </c>
      <c r="D314" s="7" t="s">
        <v>1650</v>
      </c>
      <c r="E314" s="8" t="str">
        <f>T("漢字文化通識：漢字史話")</f>
        <v>漢字文化通識：漢字史話</v>
      </c>
      <c r="F314" s="7" t="s">
        <v>2874</v>
      </c>
      <c r="G314" s="7" t="str">
        <f t="shared" si="15"/>
        <v>首都師大</v>
      </c>
      <c r="H314" s="7" t="str">
        <f>T("")</f>
        <v/>
      </c>
      <c r="I314" s="7">
        <v>36</v>
      </c>
      <c r="J314" s="7">
        <v>216</v>
      </c>
      <c r="K314" s="9" t="s">
        <v>112</v>
      </c>
    </row>
    <row r="315" spans="1:11" x14ac:dyDescent="0.25">
      <c r="A315" s="5">
        <v>311</v>
      </c>
      <c r="B315" s="5">
        <v>216</v>
      </c>
      <c r="C315" s="10" t="s">
        <v>107</v>
      </c>
      <c r="D315" s="7" t="s">
        <v>1651</v>
      </c>
      <c r="E315" s="8" t="str">
        <f>T("漢代思想史專題論稿")</f>
        <v>漢代思想史專題論稿</v>
      </c>
      <c r="F315" s="7" t="s">
        <v>2875</v>
      </c>
      <c r="G315" s="7" t="str">
        <f>T("河南大學")</f>
        <v>河南大學</v>
      </c>
      <c r="H315" s="7" t="str">
        <f>T("20100902")</f>
        <v>20100902</v>
      </c>
      <c r="I315" s="7">
        <v>23</v>
      </c>
      <c r="J315" s="7">
        <v>138</v>
      </c>
      <c r="K315" s="9" t="s">
        <v>1320</v>
      </c>
    </row>
    <row r="316" spans="1:11" x14ac:dyDescent="0.25">
      <c r="A316" s="19" t="s">
        <v>1325</v>
      </c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5">
        <v>312</v>
      </c>
      <c r="B317" s="5">
        <v>1</v>
      </c>
      <c r="C317" s="10" t="s">
        <v>598</v>
      </c>
      <c r="D317" s="7" t="s">
        <v>1652</v>
      </c>
      <c r="E317" s="8" t="str">
        <f>T("玩島嶼：最美島嶼度假攻略(彩印)")</f>
        <v>玩島嶼：最美島嶼度假攻略(彩印)</v>
      </c>
      <c r="F317" s="7" t="s">
        <v>2876</v>
      </c>
      <c r="G317" s="7" t="str">
        <f>T("人民電郵")</f>
        <v>人民電郵</v>
      </c>
      <c r="H317" s="7" t="str">
        <f>T("20100701")</f>
        <v>20100701</v>
      </c>
      <c r="I317" s="7">
        <v>38</v>
      </c>
      <c r="J317" s="7">
        <v>228</v>
      </c>
      <c r="K317" s="9" t="s">
        <v>263</v>
      </c>
    </row>
    <row r="318" spans="1:11" x14ac:dyDescent="0.25">
      <c r="A318" s="5">
        <v>313</v>
      </c>
      <c r="B318" s="5">
        <v>2</v>
      </c>
      <c r="C318" s="10" t="s">
        <v>568</v>
      </c>
      <c r="D318" s="7" t="s">
        <v>1653</v>
      </c>
      <c r="E318" s="8" t="str">
        <f>T("游方記")</f>
        <v>游方記</v>
      </c>
      <c r="F318" s="7" t="s">
        <v>2877</v>
      </c>
      <c r="G318" s="7" t="str">
        <f>T("山東人民")</f>
        <v>山東人民</v>
      </c>
      <c r="H318" s="7" t="str">
        <f>T("20100201")</f>
        <v>20100201</v>
      </c>
      <c r="I318" s="7">
        <v>35</v>
      </c>
      <c r="J318" s="7">
        <v>210</v>
      </c>
      <c r="K318" s="9" t="s">
        <v>263</v>
      </c>
    </row>
    <row r="319" spans="1:11" x14ac:dyDescent="0.25">
      <c r="A319" s="5">
        <v>314</v>
      </c>
      <c r="B319" s="5">
        <v>3</v>
      </c>
      <c r="C319" s="10" t="s">
        <v>776</v>
      </c>
      <c r="D319" s="7" t="s">
        <v>1654</v>
      </c>
      <c r="E319" s="8" t="str">
        <f>T("嶺南文化知識書系:歷史文化名城雷州")</f>
        <v>嶺南文化知識書系:歷史文化名城雷州</v>
      </c>
      <c r="F319" s="7" t="s">
        <v>2878</v>
      </c>
      <c r="G319" s="7" t="str">
        <f>T("廣東人民")</f>
        <v>廣東人民</v>
      </c>
      <c r="H319" s="7" t="str">
        <f>T("20061201")</f>
        <v>20061201</v>
      </c>
      <c r="I319" s="7">
        <v>12</v>
      </c>
      <c r="J319" s="7">
        <v>72</v>
      </c>
      <c r="K319" s="9" t="s">
        <v>263</v>
      </c>
    </row>
    <row r="320" spans="1:11" x14ac:dyDescent="0.25">
      <c r="A320" s="5">
        <v>315</v>
      </c>
      <c r="B320" s="5">
        <v>4</v>
      </c>
      <c r="C320" s="10" t="s">
        <v>586</v>
      </c>
      <c r="D320" s="7" t="s">
        <v>1655</v>
      </c>
      <c r="E320" s="8" t="str">
        <f>T("嶺南文化知識書系:鎮海樓")</f>
        <v>嶺南文化知識書系:鎮海樓</v>
      </c>
      <c r="F320" s="7" t="s">
        <v>2879</v>
      </c>
      <c r="G320" s="7" t="str">
        <f>T("廣東人民")</f>
        <v>廣東人民</v>
      </c>
      <c r="H320" s="7" t="str">
        <f>T("20070101")</f>
        <v>20070101</v>
      </c>
      <c r="I320" s="7">
        <v>12</v>
      </c>
      <c r="J320" s="7">
        <v>72</v>
      </c>
      <c r="K320" s="9" t="s">
        <v>263</v>
      </c>
    </row>
    <row r="321" spans="1:11" x14ac:dyDescent="0.25">
      <c r="A321" s="5">
        <v>316</v>
      </c>
      <c r="B321" s="5">
        <v>5</v>
      </c>
      <c r="C321" s="10" t="s">
        <v>379</v>
      </c>
      <c r="D321" s="7" t="s">
        <v>1656</v>
      </c>
      <c r="E321" s="8" t="str">
        <f>T("西非三國：對抗與和解的悖論")</f>
        <v>西非三國：對抗與和解的悖論</v>
      </c>
      <c r="F321" s="7" t="s">
        <v>2880</v>
      </c>
      <c r="G321" s="7" t="str">
        <f>T("四川人民")</f>
        <v>四川人民</v>
      </c>
      <c r="H321" s="7" t="str">
        <f>T("20060101")</f>
        <v>20060101</v>
      </c>
      <c r="I321" s="7">
        <v>20</v>
      </c>
      <c r="J321" s="7">
        <v>120</v>
      </c>
      <c r="K321" s="9" t="s">
        <v>263</v>
      </c>
    </row>
    <row r="322" spans="1:11" ht="28.5" x14ac:dyDescent="0.25">
      <c r="A322" s="5">
        <v>317</v>
      </c>
      <c r="B322" s="5">
        <v>6</v>
      </c>
      <c r="C322" s="10" t="s">
        <v>491</v>
      </c>
      <c r="D322" s="7" t="s">
        <v>1657</v>
      </c>
      <c r="E322" s="8" t="str">
        <f>T("絲綢之路研究叢書 ： 
絲綢之路吐魯番研究")</f>
        <v>絲綢之路研究叢書 ： 
絲綢之路吐魯番研究</v>
      </c>
      <c r="F322" s="7" t="s">
        <v>2881</v>
      </c>
      <c r="G322" s="7" t="str">
        <f>T("新疆人民")</f>
        <v>新疆人民</v>
      </c>
      <c r="H322" s="7" t="str">
        <f>T("20090901")</f>
        <v>20090901</v>
      </c>
      <c r="I322" s="7">
        <v>61</v>
      </c>
      <c r="J322" s="7">
        <v>366</v>
      </c>
      <c r="K322" s="9" t="s">
        <v>263</v>
      </c>
    </row>
    <row r="323" spans="1:11" x14ac:dyDescent="0.25">
      <c r="A323" s="5">
        <v>318</v>
      </c>
      <c r="B323" s="5">
        <v>7</v>
      </c>
      <c r="C323" s="10" t="s">
        <v>493</v>
      </c>
      <c r="D323" s="7" t="s">
        <v>1658</v>
      </c>
      <c r="E323" s="8" t="str">
        <f>T("新疆鄉土志稿")</f>
        <v>新疆鄉土志稿</v>
      </c>
      <c r="F323" s="7" t="s">
        <v>1962</v>
      </c>
      <c r="G323" s="7" t="str">
        <f>T("新疆人民")</f>
        <v>新疆人民</v>
      </c>
      <c r="H323" s="7" t="str">
        <f>T("")</f>
        <v/>
      </c>
      <c r="I323" s="7">
        <v>138</v>
      </c>
      <c r="J323" s="7">
        <v>828</v>
      </c>
      <c r="K323" s="9" t="s">
        <v>263</v>
      </c>
    </row>
    <row r="324" spans="1:11" x14ac:dyDescent="0.25">
      <c r="A324" s="5">
        <v>319</v>
      </c>
      <c r="B324" s="5">
        <v>8</v>
      </c>
      <c r="C324" s="10" t="s">
        <v>398</v>
      </c>
      <c r="D324" s="7" t="s">
        <v>1659</v>
      </c>
      <c r="E324" s="8" t="str">
        <f>T("絲綢之路研究叢書：絲綢之路人口研究")</f>
        <v>絲綢之路研究叢書：絲綢之路人口研究</v>
      </c>
      <c r="F324" s="7" t="s">
        <v>2882</v>
      </c>
      <c r="G324" s="7" t="str">
        <f>T("新疆人民")</f>
        <v>新疆人民</v>
      </c>
      <c r="H324" s="7" t="str">
        <f>T("20101201")</f>
        <v>20101201</v>
      </c>
      <c r="I324" s="7">
        <v>56</v>
      </c>
      <c r="J324" s="7">
        <v>336</v>
      </c>
      <c r="K324" s="9" t="s">
        <v>263</v>
      </c>
    </row>
    <row r="325" spans="1:11" x14ac:dyDescent="0.25">
      <c r="A325" s="5">
        <v>320</v>
      </c>
      <c r="B325" s="5">
        <v>9</v>
      </c>
      <c r="C325" s="10" t="s">
        <v>400</v>
      </c>
      <c r="D325" s="7" t="s">
        <v>1660</v>
      </c>
      <c r="E325" s="8" t="str">
        <f>T("絲綢之路研究叢書：絲綢之路屯墾研究")</f>
        <v>絲綢之路研究叢書：絲綢之路屯墾研究</v>
      </c>
      <c r="F325" s="7" t="s">
        <v>2883</v>
      </c>
      <c r="G325" s="7" t="str">
        <f>T("新疆人民")</f>
        <v>新疆人民</v>
      </c>
      <c r="H325" s="7" t="str">
        <f>T("20101201")</f>
        <v>20101201</v>
      </c>
      <c r="I325" s="7">
        <v>85</v>
      </c>
      <c r="J325" s="7">
        <v>510</v>
      </c>
      <c r="K325" s="9" t="s">
        <v>263</v>
      </c>
    </row>
    <row r="326" spans="1:11" x14ac:dyDescent="0.25">
      <c r="A326" s="5">
        <v>321</v>
      </c>
      <c r="B326" s="5">
        <v>10</v>
      </c>
      <c r="C326" s="10" t="s">
        <v>225</v>
      </c>
      <c r="D326" s="7" t="s">
        <v>1661</v>
      </c>
      <c r="E326" s="8" t="str">
        <f>T("生態旅遊·太湖源模式")</f>
        <v>生態旅遊·太湖源模式</v>
      </c>
      <c r="F326" s="7" t="s">
        <v>2884</v>
      </c>
      <c r="G326" s="7" t="str">
        <f>T("北京大學")</f>
        <v>北京大學</v>
      </c>
      <c r="H326" s="7" t="str">
        <f>T("20100401")</f>
        <v>20100401</v>
      </c>
      <c r="I326" s="7">
        <v>38</v>
      </c>
      <c r="J326" s="7">
        <v>228</v>
      </c>
      <c r="K326" s="9" t="s">
        <v>263</v>
      </c>
    </row>
    <row r="327" spans="1:11" x14ac:dyDescent="0.25">
      <c r="A327" s="5">
        <v>322</v>
      </c>
      <c r="B327" s="5">
        <v>11</v>
      </c>
      <c r="C327" s="10" t="s">
        <v>757</v>
      </c>
      <c r="D327" s="7" t="s">
        <v>1662</v>
      </c>
      <c r="E327" s="8" t="str">
        <f>T("個園_揚州畫舫新錄")</f>
        <v>個園_揚州畫舫新錄</v>
      </c>
      <c r="F327" s="7" t="s">
        <v>2885</v>
      </c>
      <c r="G327" s="7" t="str">
        <f>T("南京大學")</f>
        <v>南京大學</v>
      </c>
      <c r="H327" s="7" t="str">
        <f>T("")</f>
        <v/>
      </c>
      <c r="I327" s="7">
        <v>9</v>
      </c>
      <c r="J327" s="7">
        <v>54</v>
      </c>
      <c r="K327" s="9" t="s">
        <v>263</v>
      </c>
    </row>
    <row r="328" spans="1:11" x14ac:dyDescent="0.25">
      <c r="A328" s="5">
        <v>323</v>
      </c>
      <c r="B328" s="5">
        <v>12</v>
      </c>
      <c r="C328" s="10" t="s">
        <v>1326</v>
      </c>
      <c r="D328" s="7" t="s">
        <v>1662</v>
      </c>
      <c r="E328" s="8" t="s">
        <v>1327</v>
      </c>
      <c r="F328" s="7" t="s">
        <v>1328</v>
      </c>
      <c r="G328" s="7" t="str">
        <f>T("南京大學")</f>
        <v>南京大學</v>
      </c>
      <c r="H328" s="7"/>
      <c r="I328" s="7">
        <v>9</v>
      </c>
      <c r="J328" s="7">
        <v>54</v>
      </c>
      <c r="K328" s="9" t="s">
        <v>263</v>
      </c>
    </row>
    <row r="329" spans="1:11" x14ac:dyDescent="0.25">
      <c r="A329" s="5">
        <v>324</v>
      </c>
      <c r="B329" s="5">
        <v>13</v>
      </c>
      <c r="C329" s="10" t="s">
        <v>758</v>
      </c>
      <c r="D329" s="7" t="s">
        <v>1662</v>
      </c>
      <c r="E329" s="8" t="str">
        <f>T("何園_揚州畫舫新錄")</f>
        <v>何園_揚州畫舫新錄</v>
      </c>
      <c r="F329" s="7" t="s">
        <v>2886</v>
      </c>
      <c r="G329" s="7" t="str">
        <f>T("南京大學")</f>
        <v>南京大學</v>
      </c>
      <c r="H329" s="7" t="str">
        <f>T("")</f>
        <v/>
      </c>
      <c r="I329" s="7">
        <v>9</v>
      </c>
      <c r="J329" s="7">
        <v>54</v>
      </c>
      <c r="K329" s="9" t="s">
        <v>263</v>
      </c>
    </row>
    <row r="330" spans="1:11" x14ac:dyDescent="0.25">
      <c r="A330" s="5">
        <v>325</v>
      </c>
      <c r="B330" s="5">
        <v>14</v>
      </c>
      <c r="C330" s="10" t="s">
        <v>759</v>
      </c>
      <c r="D330" s="7" t="s">
        <v>1662</v>
      </c>
      <c r="E330" s="8" t="str">
        <f>T("瘦西湖_揚州畫舫新錄")</f>
        <v>瘦西湖_揚州畫舫新錄</v>
      </c>
      <c r="F330" s="7" t="s">
        <v>2887</v>
      </c>
      <c r="G330" s="7" t="str">
        <f>T("南京大學")</f>
        <v>南京大學</v>
      </c>
      <c r="H330" s="7" t="str">
        <f>T("")</f>
        <v/>
      </c>
      <c r="I330" s="7">
        <v>9</v>
      </c>
      <c r="J330" s="7">
        <v>54</v>
      </c>
      <c r="K330" s="9" t="s">
        <v>263</v>
      </c>
    </row>
    <row r="331" spans="1:11" x14ac:dyDescent="0.25">
      <c r="A331" s="5">
        <v>326</v>
      </c>
      <c r="B331" s="5">
        <v>15</v>
      </c>
      <c r="C331" s="10" t="s">
        <v>555</v>
      </c>
      <c r="D331" s="7" t="s">
        <v>1663</v>
      </c>
      <c r="E331" s="8" t="str">
        <f>T("神話與絕唱：張家界")</f>
        <v>神話與絕唱：張家界</v>
      </c>
      <c r="F331" s="7" t="s">
        <v>2888</v>
      </c>
      <c r="G331" s="7" t="str">
        <f t="shared" ref="G331:G336" si="16">T("中國青年")</f>
        <v>中國青年</v>
      </c>
      <c r="H331" s="7" t="str">
        <f t="shared" ref="H331:H336" si="17">T("20081001")</f>
        <v>20081001</v>
      </c>
      <c r="I331" s="7">
        <v>75</v>
      </c>
      <c r="J331" s="7">
        <v>450</v>
      </c>
      <c r="K331" s="9" t="s">
        <v>263</v>
      </c>
    </row>
    <row r="332" spans="1:11" x14ac:dyDescent="0.25">
      <c r="A332" s="5">
        <v>327</v>
      </c>
      <c r="B332" s="5">
        <v>16</v>
      </c>
      <c r="C332" s="10" t="s">
        <v>556</v>
      </c>
      <c r="D332" s="7" t="s">
        <v>1664</v>
      </c>
      <c r="E332" s="8" t="str">
        <f>T("現代童話：杭州")</f>
        <v>現代童話：杭州</v>
      </c>
      <c r="F332" s="7" t="s">
        <v>2889</v>
      </c>
      <c r="G332" s="7" t="str">
        <f t="shared" si="16"/>
        <v>中國青年</v>
      </c>
      <c r="H332" s="7" t="str">
        <f t="shared" si="17"/>
        <v>20081001</v>
      </c>
      <c r="I332" s="7">
        <v>78</v>
      </c>
      <c r="J332" s="7">
        <v>468</v>
      </c>
      <c r="K332" s="9" t="s">
        <v>263</v>
      </c>
    </row>
    <row r="333" spans="1:11" x14ac:dyDescent="0.25">
      <c r="A333" s="5">
        <v>328</v>
      </c>
      <c r="B333" s="5">
        <v>17</v>
      </c>
      <c r="C333" s="10" t="s">
        <v>557</v>
      </c>
      <c r="D333" s="7" t="s">
        <v>1665</v>
      </c>
      <c r="E333" s="8" t="str">
        <f>T("春風又綠兩江岸：重慶")</f>
        <v>春風又綠兩江岸：重慶</v>
      </c>
      <c r="F333" s="7" t="s">
        <v>2890</v>
      </c>
      <c r="G333" s="7" t="str">
        <f t="shared" si="16"/>
        <v>中國青年</v>
      </c>
      <c r="H333" s="7" t="str">
        <f t="shared" si="17"/>
        <v>20081001</v>
      </c>
      <c r="I333" s="7">
        <v>62</v>
      </c>
      <c r="J333" s="7">
        <v>372</v>
      </c>
      <c r="K333" s="9" t="s">
        <v>263</v>
      </c>
    </row>
    <row r="334" spans="1:11" x14ac:dyDescent="0.25">
      <c r="A334" s="5">
        <v>329</v>
      </c>
      <c r="B334" s="5">
        <v>18</v>
      </c>
      <c r="C334" s="10" t="s">
        <v>558</v>
      </c>
      <c r="D334" s="7" t="s">
        <v>1666</v>
      </c>
      <c r="E334" s="8" t="str">
        <f>T("民營經濟試驗田：溫州")</f>
        <v>民營經濟試驗田：溫州</v>
      </c>
      <c r="F334" s="7" t="s">
        <v>2891</v>
      </c>
      <c r="G334" s="7" t="str">
        <f t="shared" si="16"/>
        <v>中國青年</v>
      </c>
      <c r="H334" s="7" t="str">
        <f t="shared" si="17"/>
        <v>20081001</v>
      </c>
      <c r="I334" s="7">
        <v>58</v>
      </c>
      <c r="J334" s="7">
        <v>348</v>
      </c>
      <c r="K334" s="9" t="s">
        <v>263</v>
      </c>
    </row>
    <row r="335" spans="1:11" x14ac:dyDescent="0.25">
      <c r="A335" s="5">
        <v>330</v>
      </c>
      <c r="B335" s="5">
        <v>19</v>
      </c>
      <c r="C335" s="10" t="s">
        <v>559</v>
      </c>
      <c r="D335" s="7" t="s">
        <v>1667</v>
      </c>
      <c r="E335" s="8" t="str">
        <f>T("東方大港：寧波")</f>
        <v>東方大港：寧波</v>
      </c>
      <c r="F335" s="7" t="s">
        <v>2892</v>
      </c>
      <c r="G335" s="7" t="str">
        <f t="shared" si="16"/>
        <v>中國青年</v>
      </c>
      <c r="H335" s="7" t="str">
        <f t="shared" si="17"/>
        <v>20081001</v>
      </c>
      <c r="I335" s="7">
        <v>68</v>
      </c>
      <c r="J335" s="7">
        <v>408</v>
      </c>
      <c r="K335" s="9" t="s">
        <v>263</v>
      </c>
    </row>
    <row r="336" spans="1:11" x14ac:dyDescent="0.25">
      <c r="A336" s="5">
        <v>331</v>
      </c>
      <c r="B336" s="5">
        <v>20</v>
      </c>
      <c r="C336" s="10" t="s">
        <v>560</v>
      </c>
      <c r="D336" s="7" t="s">
        <v>1668</v>
      </c>
      <c r="E336" s="8" t="str">
        <f>T("青春的城市：深圳")</f>
        <v>青春的城市：深圳</v>
      </c>
      <c r="F336" s="7" t="s">
        <v>2893</v>
      </c>
      <c r="G336" s="7" t="str">
        <f t="shared" si="16"/>
        <v>中國青年</v>
      </c>
      <c r="H336" s="7" t="str">
        <f t="shared" si="17"/>
        <v>20081001</v>
      </c>
      <c r="I336" s="7">
        <v>75</v>
      </c>
      <c r="J336" s="7">
        <v>450</v>
      </c>
      <c r="K336" s="9" t="s">
        <v>263</v>
      </c>
    </row>
    <row r="337" spans="1:11" x14ac:dyDescent="0.25">
      <c r="A337" s="5">
        <v>332</v>
      </c>
      <c r="B337" s="5">
        <v>21</v>
      </c>
      <c r="C337" s="10" t="s">
        <v>368</v>
      </c>
      <c r="D337" s="7" t="s">
        <v>1669</v>
      </c>
      <c r="E337" s="8" t="str">
        <f>T("正在消逝的雲南奇景")</f>
        <v>正在消逝的雲南奇景</v>
      </c>
      <c r="F337" s="7" t="s">
        <v>2894</v>
      </c>
      <c r="G337" s="7" t="str">
        <f>T("水利水電")</f>
        <v>水利水電</v>
      </c>
      <c r="H337" s="7" t="str">
        <f>T("20081101")</f>
        <v>20081101</v>
      </c>
      <c r="I337" s="7">
        <v>58</v>
      </c>
      <c r="J337" s="7">
        <v>348</v>
      </c>
      <c r="K337" s="9" t="s">
        <v>263</v>
      </c>
    </row>
    <row r="338" spans="1:11" x14ac:dyDescent="0.25">
      <c r="A338" s="5">
        <v>333</v>
      </c>
      <c r="B338" s="5">
        <v>22</v>
      </c>
      <c r="C338" s="10" t="s">
        <v>154</v>
      </c>
      <c r="D338" s="7" t="s">
        <v>1670</v>
      </c>
      <c r="E338" s="8" t="str">
        <f>T("2010年率先轉型中的長三角(2010版)")</f>
        <v>2010年率先轉型中的長三角(2010版)</v>
      </c>
      <c r="F338" s="7" t="s">
        <v>2895</v>
      </c>
      <c r="G338" s="7" t="str">
        <f>T("社科文獻")</f>
        <v>社科文獻</v>
      </c>
      <c r="H338" s="7" t="str">
        <f>T("20100501")</f>
        <v>20100501</v>
      </c>
      <c r="I338" s="7">
        <v>59</v>
      </c>
      <c r="J338" s="7">
        <v>354</v>
      </c>
      <c r="K338" s="9" t="s">
        <v>263</v>
      </c>
    </row>
    <row r="339" spans="1:11" ht="28.5" x14ac:dyDescent="0.25">
      <c r="A339" s="5">
        <v>334</v>
      </c>
      <c r="B339" s="5">
        <v>23</v>
      </c>
      <c r="C339" s="10" t="s">
        <v>155</v>
      </c>
      <c r="D339" s="7" t="s">
        <v>1671</v>
      </c>
      <c r="E339" s="8" t="str">
        <f>T("武漢城市圈經濟社會發展報告（2009-2010）")</f>
        <v>武漢城市圈經濟社會發展報告（2009-2010）</v>
      </c>
      <c r="F339" s="7" t="s">
        <v>2896</v>
      </c>
      <c r="G339" s="7" t="str">
        <f>T("社科文獻")</f>
        <v>社科文獻</v>
      </c>
      <c r="H339" s="7" t="str">
        <f>T("20100701")</f>
        <v>20100701</v>
      </c>
      <c r="I339" s="7">
        <v>69</v>
      </c>
      <c r="J339" s="7">
        <v>414</v>
      </c>
      <c r="K339" s="9" t="s">
        <v>263</v>
      </c>
    </row>
    <row r="340" spans="1:11" x14ac:dyDescent="0.25">
      <c r="A340" s="5">
        <v>335</v>
      </c>
      <c r="B340" s="5">
        <v>24</v>
      </c>
      <c r="C340" s="10" t="s">
        <v>157</v>
      </c>
      <c r="D340" s="7" t="s">
        <v>1672</v>
      </c>
      <c r="E340" s="8" t="str">
        <f>T("中國餐飲產業發展報告 2010")</f>
        <v>中國餐飲產業發展報告 2010</v>
      </c>
      <c r="F340" s="7" t="s">
        <v>2897</v>
      </c>
      <c r="G340" s="7" t="str">
        <f>T("社科文獻")</f>
        <v>社科文獻</v>
      </c>
      <c r="H340" s="7" t="str">
        <f>T("20100601")</f>
        <v>20100601</v>
      </c>
      <c r="I340" s="7">
        <v>59</v>
      </c>
      <c r="J340" s="7">
        <v>354</v>
      </c>
      <c r="K340" s="9" t="s">
        <v>263</v>
      </c>
    </row>
    <row r="341" spans="1:11" x14ac:dyDescent="0.25">
      <c r="A341" s="5">
        <v>336</v>
      </c>
      <c r="B341" s="5">
        <v>25</v>
      </c>
      <c r="C341" s="10" t="s">
        <v>38</v>
      </c>
      <c r="D341" s="7" t="s">
        <v>1673</v>
      </c>
      <c r="E341" s="8" t="str">
        <f>T("北京-文明與輝煌")</f>
        <v>北京-文明與輝煌</v>
      </c>
      <c r="F341" s="7" t="s">
        <v>1312</v>
      </c>
      <c r="G341" s="7" t="str">
        <f>T("上海人美")</f>
        <v>上海人美</v>
      </c>
      <c r="H341" s="7" t="str">
        <f>T("20100501")</f>
        <v>20100501</v>
      </c>
      <c r="I341" s="7">
        <v>98</v>
      </c>
      <c r="J341" s="7">
        <v>588</v>
      </c>
      <c r="K341" s="9" t="s">
        <v>263</v>
      </c>
    </row>
    <row r="342" spans="1:11" x14ac:dyDescent="0.25">
      <c r="A342" s="5">
        <v>337</v>
      </c>
      <c r="B342" s="5">
        <v>26</v>
      </c>
      <c r="C342" s="10" t="s">
        <v>460</v>
      </c>
      <c r="D342" s="7" t="s">
        <v>1674</v>
      </c>
      <c r="E342" s="8" t="str">
        <f>T("揚州美容工藝技術")</f>
        <v>揚州美容工藝技術</v>
      </c>
      <c r="F342" s="7" t="s">
        <v>1962</v>
      </c>
      <c r="G342" s="7" t="str">
        <f>T("上海科教")</f>
        <v>上海科教</v>
      </c>
      <c r="H342" s="7" t="str">
        <f>T("20060101")</f>
        <v>20060101</v>
      </c>
      <c r="I342" s="7">
        <v>20</v>
      </c>
      <c r="J342" s="7">
        <v>120</v>
      </c>
      <c r="K342" s="9" t="s">
        <v>263</v>
      </c>
    </row>
    <row r="343" spans="1:11" x14ac:dyDescent="0.25">
      <c r="A343" s="5">
        <v>338</v>
      </c>
      <c r="B343" s="5">
        <v>27</v>
      </c>
      <c r="C343" s="10" t="s">
        <v>790</v>
      </c>
      <c r="D343" s="7" t="s">
        <v>1675</v>
      </c>
      <c r="E343" s="8" t="str">
        <f>T("老上海的當鋪與當票")</f>
        <v>老上海的當鋪與當票</v>
      </c>
      <c r="F343" s="7" t="s">
        <v>2898</v>
      </c>
      <c r="G343" s="7" t="str">
        <f>T("上海古籍")</f>
        <v>上海古籍</v>
      </c>
      <c r="H343" s="7" t="str">
        <f>T("20060401")</f>
        <v>20060401</v>
      </c>
      <c r="I343" s="7">
        <v>68</v>
      </c>
      <c r="J343" s="7">
        <v>408</v>
      </c>
      <c r="K343" s="9" t="s">
        <v>263</v>
      </c>
    </row>
    <row r="344" spans="1:11" x14ac:dyDescent="0.25">
      <c r="A344" s="5">
        <v>339</v>
      </c>
      <c r="B344" s="5">
        <v>28</v>
      </c>
      <c r="C344" s="10" t="s">
        <v>810</v>
      </c>
      <c r="D344" s="7" t="s">
        <v>1676</v>
      </c>
      <c r="E344" s="8" t="str">
        <f>T("燕趙藝術地理")</f>
        <v>燕趙藝術地理</v>
      </c>
      <c r="F344" s="7" t="s">
        <v>1312</v>
      </c>
      <c r="G344" s="7" t="str">
        <f>T("山東美術")</f>
        <v>山東美術</v>
      </c>
      <c r="H344" s="7" t="str">
        <f t="shared" ref="H344:H350" si="18">T("")</f>
        <v/>
      </c>
      <c r="I344" s="7">
        <v>19.8</v>
      </c>
      <c r="J344" s="7">
        <v>119</v>
      </c>
      <c r="K344" s="9" t="s">
        <v>1329</v>
      </c>
    </row>
    <row r="345" spans="1:11" x14ac:dyDescent="0.25">
      <c r="A345" s="5">
        <v>340</v>
      </c>
      <c r="B345" s="5">
        <v>29</v>
      </c>
      <c r="C345" s="10" t="s">
        <v>813</v>
      </c>
      <c r="D345" s="7" t="s">
        <v>1677</v>
      </c>
      <c r="E345" s="8" t="str">
        <f>T("聊齋文化旅遊叢書淄川旅遊文化")</f>
        <v>聊齋文化旅遊叢書淄川旅遊文化</v>
      </c>
      <c r="F345" s="7" t="s">
        <v>2899</v>
      </c>
      <c r="G345" s="7" t="str">
        <f t="shared" ref="G345:G350" si="19">T("齊魯")</f>
        <v>齊魯</v>
      </c>
      <c r="H345" s="7" t="str">
        <f t="shared" si="18"/>
        <v/>
      </c>
      <c r="I345" s="7">
        <v>63</v>
      </c>
      <c r="J345" s="7">
        <v>380</v>
      </c>
      <c r="K345" s="9" t="s">
        <v>1329</v>
      </c>
    </row>
    <row r="346" spans="1:11" x14ac:dyDescent="0.25">
      <c r="A346" s="5">
        <v>341</v>
      </c>
      <c r="B346" s="5">
        <v>30</v>
      </c>
      <c r="C346" s="10" t="s">
        <v>814</v>
      </c>
      <c r="D346" s="7" t="s">
        <v>1677</v>
      </c>
      <c r="E346" s="8" t="str">
        <f>T("聊齋文化旅遊叢書淄川民間藝術")</f>
        <v>聊齋文化旅遊叢書淄川民間藝術</v>
      </c>
      <c r="F346" s="7" t="s">
        <v>2900</v>
      </c>
      <c r="G346" s="7" t="str">
        <f t="shared" si="19"/>
        <v>齊魯</v>
      </c>
      <c r="H346" s="7" t="str">
        <f t="shared" si="18"/>
        <v/>
      </c>
      <c r="I346" s="7">
        <v>63</v>
      </c>
      <c r="J346" s="7">
        <v>380</v>
      </c>
      <c r="K346" s="9" t="s">
        <v>1329</v>
      </c>
    </row>
    <row r="347" spans="1:11" x14ac:dyDescent="0.25">
      <c r="A347" s="5">
        <v>342</v>
      </c>
      <c r="B347" s="5">
        <v>31</v>
      </c>
      <c r="C347" s="10" t="s">
        <v>815</v>
      </c>
      <c r="D347" s="7" t="s">
        <v>1677</v>
      </c>
      <c r="E347" s="8" t="str">
        <f>T("聊齋文化旅遊叢書聊齋文化概覽")</f>
        <v>聊齋文化旅遊叢書聊齋文化概覽</v>
      </c>
      <c r="F347" s="7" t="s">
        <v>2901</v>
      </c>
      <c r="G347" s="7" t="str">
        <f t="shared" si="19"/>
        <v>齊魯</v>
      </c>
      <c r="H347" s="7" t="str">
        <f t="shared" si="18"/>
        <v/>
      </c>
      <c r="I347" s="7">
        <v>63</v>
      </c>
      <c r="J347" s="7">
        <v>380</v>
      </c>
      <c r="K347" s="9" t="s">
        <v>1329</v>
      </c>
    </row>
    <row r="348" spans="1:11" x14ac:dyDescent="0.25">
      <c r="A348" s="5">
        <v>343</v>
      </c>
      <c r="B348" s="5">
        <v>32</v>
      </c>
      <c r="C348" s="10" t="s">
        <v>816</v>
      </c>
      <c r="D348" s="7" t="s">
        <v>1677</v>
      </c>
      <c r="E348" s="8" t="str">
        <f>T("聊齋文化旅遊叢書淄川陶瓷文化")</f>
        <v>聊齋文化旅遊叢書淄川陶瓷文化</v>
      </c>
      <c r="F348" s="7" t="s">
        <v>2902</v>
      </c>
      <c r="G348" s="7" t="str">
        <f t="shared" si="19"/>
        <v>齊魯</v>
      </c>
      <c r="H348" s="7" t="str">
        <f t="shared" si="18"/>
        <v/>
      </c>
      <c r="I348" s="7">
        <v>63</v>
      </c>
      <c r="J348" s="7">
        <v>380</v>
      </c>
      <c r="K348" s="9" t="s">
        <v>1329</v>
      </c>
    </row>
    <row r="349" spans="1:11" x14ac:dyDescent="0.25">
      <c r="A349" s="5">
        <v>344</v>
      </c>
      <c r="B349" s="5">
        <v>33</v>
      </c>
      <c r="C349" s="10" t="s">
        <v>817</v>
      </c>
      <c r="D349" s="7" t="s">
        <v>1677</v>
      </c>
      <c r="E349" s="8" t="str">
        <f>T("聊齋文化旅遊叢書淄川民間故事")</f>
        <v>聊齋文化旅遊叢書淄川民間故事</v>
      </c>
      <c r="F349" s="7" t="s">
        <v>2903</v>
      </c>
      <c r="G349" s="7" t="str">
        <f t="shared" si="19"/>
        <v>齊魯</v>
      </c>
      <c r="H349" s="7" t="str">
        <f t="shared" si="18"/>
        <v/>
      </c>
      <c r="I349" s="7">
        <v>63</v>
      </c>
      <c r="J349" s="7">
        <v>380</v>
      </c>
      <c r="K349" s="9" t="s">
        <v>1329</v>
      </c>
    </row>
    <row r="350" spans="1:11" x14ac:dyDescent="0.25">
      <c r="A350" s="5">
        <v>345</v>
      </c>
      <c r="B350" s="5">
        <v>34</v>
      </c>
      <c r="C350" s="10" t="s">
        <v>818</v>
      </c>
      <c r="D350" s="7" t="s">
        <v>1677</v>
      </c>
      <c r="E350" s="8" t="str">
        <f>T("聊齋文化旅遊叢書淄川風光名勝")</f>
        <v>聊齋文化旅遊叢書淄川風光名勝</v>
      </c>
      <c r="F350" s="7" t="s">
        <v>2904</v>
      </c>
      <c r="G350" s="7" t="str">
        <f t="shared" si="19"/>
        <v>齊魯</v>
      </c>
      <c r="H350" s="7" t="str">
        <f t="shared" si="18"/>
        <v/>
      </c>
      <c r="I350" s="7">
        <v>63</v>
      </c>
      <c r="J350" s="7">
        <v>380</v>
      </c>
      <c r="K350" s="9" t="s">
        <v>1329</v>
      </c>
    </row>
    <row r="351" spans="1:11" x14ac:dyDescent="0.25">
      <c r="A351" s="5">
        <v>346</v>
      </c>
      <c r="B351" s="5">
        <v>35</v>
      </c>
      <c r="C351" s="10" t="s">
        <v>18</v>
      </c>
      <c r="D351" s="7" t="s">
        <v>1678</v>
      </c>
      <c r="E351" s="8" t="str">
        <f>T("慕士塔格文叢  凝曙之下")</f>
        <v>慕士塔格文叢  凝曙之下</v>
      </c>
      <c r="F351" s="7" t="s">
        <v>1962</v>
      </c>
      <c r="G351" s="7" t="str">
        <f>T("新疆青少年")</f>
        <v>新疆青少年</v>
      </c>
      <c r="H351" s="7" t="str">
        <f>T("20080101")</f>
        <v>20080101</v>
      </c>
      <c r="I351" s="7">
        <v>39.799999999999997</v>
      </c>
      <c r="J351" s="7">
        <v>239</v>
      </c>
      <c r="K351" s="9" t="s">
        <v>263</v>
      </c>
    </row>
    <row r="352" spans="1:11" ht="28.5" x14ac:dyDescent="0.25">
      <c r="A352" s="5">
        <v>347</v>
      </c>
      <c r="B352" s="5">
        <v>36</v>
      </c>
      <c r="C352" s="10" t="s">
        <v>685</v>
      </c>
      <c r="D352" s="7" t="s">
        <v>1679</v>
      </c>
      <c r="E352" s="8" t="str">
        <f>T("皇城內外--北京市非物質文化遺產
資源彙編")</f>
        <v>皇城內外--北京市非物質文化遺產
資源彙編</v>
      </c>
      <c r="F352" s="7" t="s">
        <v>2905</v>
      </c>
      <c r="G352" s="7" t="str">
        <f>T("北京燕山")</f>
        <v>北京燕山</v>
      </c>
      <c r="H352" s="7" t="str">
        <f>T("20091001")</f>
        <v>20091001</v>
      </c>
      <c r="I352" s="7">
        <v>25</v>
      </c>
      <c r="J352" s="7">
        <v>150</v>
      </c>
      <c r="K352" s="9" t="s">
        <v>263</v>
      </c>
    </row>
    <row r="353" spans="1:11" x14ac:dyDescent="0.25">
      <c r="A353" s="5">
        <v>348</v>
      </c>
      <c r="B353" s="5">
        <v>37</v>
      </c>
      <c r="C353" s="10" t="s">
        <v>190</v>
      </c>
      <c r="D353" s="7" t="s">
        <v>1680</v>
      </c>
      <c r="E353" s="8" t="str">
        <f>T("探尋地理妙境")</f>
        <v>探尋地理妙境</v>
      </c>
      <c r="F353" s="7" t="s">
        <v>2906</v>
      </c>
      <c r="G353" s="7" t="str">
        <f>T("崇文書局")</f>
        <v>崇文書局</v>
      </c>
      <c r="H353" s="7" t="str">
        <f>T("20100101")</f>
        <v>20100101</v>
      </c>
      <c r="I353" s="7">
        <v>19.8</v>
      </c>
      <c r="J353" s="7">
        <v>119</v>
      </c>
      <c r="K353" s="9" t="s">
        <v>1329</v>
      </c>
    </row>
    <row r="354" spans="1:11" ht="28.5" x14ac:dyDescent="0.25">
      <c r="A354" s="5">
        <v>349</v>
      </c>
      <c r="B354" s="5">
        <v>38</v>
      </c>
      <c r="C354" s="10" t="s">
        <v>506</v>
      </c>
      <c r="D354" s="7" t="s">
        <v>1681</v>
      </c>
      <c r="E354" s="8" t="str">
        <f>T("荒漠河岸林植被對環境脅迫的生理響應與適應策略")</f>
        <v>荒漠河岸林植被對環境脅迫的生理響應與適應策略</v>
      </c>
      <c r="F354" s="7" t="s">
        <v>1962</v>
      </c>
      <c r="G354" s="7" t="str">
        <f>T("新疆科技")</f>
        <v>新疆科技</v>
      </c>
      <c r="H354" s="7" t="str">
        <f t="shared" ref="H354:H362" si="20">T("20080201")</f>
        <v>20080201</v>
      </c>
      <c r="I354" s="7">
        <v>52</v>
      </c>
      <c r="J354" s="7">
        <v>312</v>
      </c>
      <c r="K354" s="9" t="s">
        <v>263</v>
      </c>
    </row>
    <row r="355" spans="1:11" ht="28.5" x14ac:dyDescent="0.25">
      <c r="A355" s="5">
        <v>350</v>
      </c>
      <c r="B355" s="5">
        <v>39</v>
      </c>
      <c r="C355" s="10" t="s">
        <v>507</v>
      </c>
      <c r="D355" s="7" t="s">
        <v>1682</v>
      </c>
      <c r="E355" s="8" t="str">
        <f>T("環塔里木盆地特色林果主要有害生物識別與防控技術")</f>
        <v>環塔里木盆地特色林果主要有害生物識別與防控技術</v>
      </c>
      <c r="F355" s="7" t="s">
        <v>1962</v>
      </c>
      <c r="G355" s="7" t="str">
        <f>T("新疆科技")</f>
        <v>新疆科技</v>
      </c>
      <c r="H355" s="7" t="str">
        <f t="shared" si="20"/>
        <v>20080201</v>
      </c>
      <c r="I355" s="7">
        <v>28</v>
      </c>
      <c r="J355" s="7">
        <v>168</v>
      </c>
      <c r="K355" s="9" t="s">
        <v>263</v>
      </c>
    </row>
    <row r="356" spans="1:11" x14ac:dyDescent="0.25">
      <c r="A356" s="5">
        <v>351</v>
      </c>
      <c r="B356" s="5">
        <v>40</v>
      </c>
      <c r="C356" s="10" t="s">
        <v>897</v>
      </c>
      <c r="D356" s="7" t="s">
        <v>1683</v>
      </c>
      <c r="E356" s="8" t="str">
        <f>T("克孜爾水庫-一座建造在活動斷層上的大壩")</f>
        <v>克孜爾水庫-一座建造在活動斷層上的大壩</v>
      </c>
      <c r="F356" s="7" t="s">
        <v>1962</v>
      </c>
      <c r="G356" s="7" t="str">
        <f>T("新疆科技")</f>
        <v>新疆科技</v>
      </c>
      <c r="H356" s="7" t="str">
        <f t="shared" si="20"/>
        <v>20080201</v>
      </c>
      <c r="I356" s="7">
        <v>120</v>
      </c>
      <c r="J356" s="7">
        <v>720</v>
      </c>
      <c r="K356" s="9" t="s">
        <v>263</v>
      </c>
    </row>
    <row r="357" spans="1:11" ht="28.5" x14ac:dyDescent="0.25">
      <c r="A357" s="5">
        <v>352</v>
      </c>
      <c r="B357" s="5">
        <v>41</v>
      </c>
      <c r="C357" s="10" t="s">
        <v>508</v>
      </c>
      <c r="D357" s="7" t="s">
        <v>1684</v>
      </c>
      <c r="E357" s="8" t="str">
        <f>T("東天山喀爾里克山北坡－淖毛湖盆地生態環境及其保護")</f>
        <v>東天山喀爾里克山北坡－淖毛湖盆地生態環境及其保護</v>
      </c>
      <c r="F357" s="7" t="s">
        <v>1962</v>
      </c>
      <c r="G357" s="7" t="str">
        <f>T("新疆科技")</f>
        <v>新疆科技</v>
      </c>
      <c r="H357" s="7" t="str">
        <f t="shared" si="20"/>
        <v>20080201</v>
      </c>
      <c r="I357" s="7">
        <v>42</v>
      </c>
      <c r="J357" s="7">
        <v>252</v>
      </c>
      <c r="K357" s="9" t="s">
        <v>263</v>
      </c>
    </row>
    <row r="358" spans="1:11" ht="28.5" x14ac:dyDescent="0.25">
      <c r="A358" s="5">
        <v>353</v>
      </c>
      <c r="B358" s="5">
        <v>42</v>
      </c>
      <c r="C358" s="10" t="s">
        <v>509</v>
      </c>
      <c r="D358" s="7" t="s">
        <v>1685</v>
      </c>
      <c r="E358" s="8" t="str">
        <f>T("塔里木河下游輸水後的生態變化及其效應研究")</f>
        <v>塔里木河下游輸水後的生態變化及其效應研究</v>
      </c>
      <c r="F358" s="7" t="s">
        <v>1962</v>
      </c>
      <c r="G358" s="7" t="str">
        <f>T("新疆科技")</f>
        <v>新疆科技</v>
      </c>
      <c r="H358" s="7" t="str">
        <f t="shared" si="20"/>
        <v>20080201</v>
      </c>
      <c r="I358" s="7">
        <v>30</v>
      </c>
      <c r="J358" s="7">
        <v>180</v>
      </c>
      <c r="K358" s="9" t="s">
        <v>263</v>
      </c>
    </row>
    <row r="359" spans="1:11" x14ac:dyDescent="0.25">
      <c r="A359" s="5">
        <v>354</v>
      </c>
      <c r="B359" s="5">
        <v>43</v>
      </c>
      <c r="C359" s="10" t="s">
        <v>513</v>
      </c>
      <c r="D359" s="7" t="s">
        <v>1686</v>
      </c>
      <c r="E359" s="8" t="str">
        <f>T("東天山文化研究")</f>
        <v>東天山文化研究</v>
      </c>
      <c r="F359" s="7" t="s">
        <v>1962</v>
      </c>
      <c r="G359" s="7" t="str">
        <f>T("新疆美攝")</f>
        <v>新疆美攝</v>
      </c>
      <c r="H359" s="7" t="str">
        <f t="shared" si="20"/>
        <v>20080201</v>
      </c>
      <c r="I359" s="7">
        <v>48</v>
      </c>
      <c r="J359" s="7">
        <v>288</v>
      </c>
      <c r="K359" s="9" t="s">
        <v>263</v>
      </c>
    </row>
    <row r="360" spans="1:11" x14ac:dyDescent="0.25">
      <c r="A360" s="5">
        <v>355</v>
      </c>
      <c r="B360" s="5">
        <v>44</v>
      </c>
      <c r="C360" s="10" t="s">
        <v>526</v>
      </c>
      <c r="D360" s="7" t="s">
        <v>1687</v>
      </c>
      <c r="E360" s="8" t="str">
        <f>T("風情鎮西")</f>
        <v>風情鎮西</v>
      </c>
      <c r="F360" s="7" t="s">
        <v>1962</v>
      </c>
      <c r="G360" s="7" t="str">
        <f>T("新疆美攝")</f>
        <v>新疆美攝</v>
      </c>
      <c r="H360" s="7" t="str">
        <f t="shared" si="20"/>
        <v>20080201</v>
      </c>
      <c r="I360" s="7">
        <v>72</v>
      </c>
      <c r="J360" s="7">
        <v>432</v>
      </c>
      <c r="K360" s="9" t="s">
        <v>263</v>
      </c>
    </row>
    <row r="361" spans="1:11" x14ac:dyDescent="0.25">
      <c r="A361" s="5">
        <v>356</v>
      </c>
      <c r="B361" s="5">
        <v>45</v>
      </c>
      <c r="C361" s="10" t="s">
        <v>527</v>
      </c>
      <c r="D361" s="7" t="s">
        <v>1688</v>
      </c>
      <c r="E361" s="8" t="str">
        <f>T("絲路鎮西")</f>
        <v>絲路鎮西</v>
      </c>
      <c r="F361" s="7" t="s">
        <v>1962</v>
      </c>
      <c r="G361" s="7" t="str">
        <f>T("新疆美攝")</f>
        <v>新疆美攝</v>
      </c>
      <c r="H361" s="7" t="str">
        <f t="shared" si="20"/>
        <v>20080201</v>
      </c>
      <c r="I361" s="7">
        <v>74</v>
      </c>
      <c r="J361" s="7">
        <v>444</v>
      </c>
      <c r="K361" s="9" t="s">
        <v>263</v>
      </c>
    </row>
    <row r="362" spans="1:11" x14ac:dyDescent="0.25">
      <c r="A362" s="5">
        <v>357</v>
      </c>
      <c r="B362" s="5">
        <v>46</v>
      </c>
      <c r="C362" s="10" t="s">
        <v>528</v>
      </c>
      <c r="D362" s="7" t="s">
        <v>1689</v>
      </c>
      <c r="E362" s="8" t="str">
        <f>T("雙城鎮西")</f>
        <v>雙城鎮西</v>
      </c>
      <c r="F362" s="7" t="s">
        <v>1962</v>
      </c>
      <c r="G362" s="7" t="str">
        <f>T("新疆美攝")</f>
        <v>新疆美攝</v>
      </c>
      <c r="H362" s="7" t="str">
        <f t="shared" si="20"/>
        <v>20080201</v>
      </c>
      <c r="I362" s="7">
        <v>54</v>
      </c>
      <c r="J362" s="7">
        <v>324</v>
      </c>
      <c r="K362" s="9" t="s">
        <v>263</v>
      </c>
    </row>
    <row r="363" spans="1:11" x14ac:dyDescent="0.25">
      <c r="A363" s="5">
        <v>358</v>
      </c>
      <c r="B363" s="5">
        <v>47</v>
      </c>
      <c r="C363" s="10" t="s">
        <v>412</v>
      </c>
      <c r="D363" s="7" t="s">
        <v>1690</v>
      </c>
      <c r="E363" s="8" t="str">
        <f>T("青浦卷-回眸青龍翱翔")</f>
        <v>青浦卷-回眸青龍翱翔</v>
      </c>
      <c r="F363" s="7" t="s">
        <v>2907</v>
      </c>
      <c r="G363" s="7" t="str">
        <f t="shared" ref="G363:G371" si="21">T("百家")</f>
        <v>百家</v>
      </c>
      <c r="H363" s="7" t="str">
        <f>T("20100401")</f>
        <v>20100401</v>
      </c>
      <c r="I363" s="7">
        <v>32</v>
      </c>
      <c r="J363" s="7">
        <v>192</v>
      </c>
      <c r="K363" s="9" t="s">
        <v>263</v>
      </c>
    </row>
    <row r="364" spans="1:11" x14ac:dyDescent="0.25">
      <c r="A364" s="5">
        <v>359</v>
      </c>
      <c r="B364" s="5">
        <v>48</v>
      </c>
      <c r="C364" s="10" t="s">
        <v>903</v>
      </c>
      <c r="D364" s="7" t="s">
        <v>1691</v>
      </c>
      <c r="E364" s="8" t="str">
        <f>T("普陀卷-右岸·蘇州河")</f>
        <v>普陀卷-右岸·蘇州河</v>
      </c>
      <c r="F364" s="7" t="s">
        <v>2908</v>
      </c>
      <c r="G364" s="7" t="str">
        <f t="shared" si="21"/>
        <v>百家</v>
      </c>
      <c r="H364" s="7" t="str">
        <f>T("20100401")</f>
        <v>20100401</v>
      </c>
      <c r="I364" s="7">
        <v>32</v>
      </c>
      <c r="J364" s="7">
        <v>192</v>
      </c>
      <c r="K364" s="9" t="s">
        <v>263</v>
      </c>
    </row>
    <row r="365" spans="1:11" x14ac:dyDescent="0.25">
      <c r="A365" s="5">
        <v>360</v>
      </c>
      <c r="B365" s="5">
        <v>49</v>
      </c>
      <c r="C365" s="10" t="s">
        <v>904</v>
      </c>
      <c r="D365" s="7" t="s">
        <v>1692</v>
      </c>
      <c r="E365" s="8" t="str">
        <f>T("金山卷-聆聽文明的步履聲")</f>
        <v>金山卷-聆聽文明的步履聲</v>
      </c>
      <c r="F365" s="7" t="s">
        <v>2909</v>
      </c>
      <c r="G365" s="7" t="str">
        <f t="shared" si="21"/>
        <v>百家</v>
      </c>
      <c r="H365" s="7" t="str">
        <f>T("20100401")</f>
        <v>20100401</v>
      </c>
      <c r="I365" s="7">
        <v>32</v>
      </c>
      <c r="J365" s="7">
        <v>192</v>
      </c>
      <c r="K365" s="9" t="s">
        <v>263</v>
      </c>
    </row>
    <row r="366" spans="1:11" x14ac:dyDescent="0.25">
      <c r="A366" s="5">
        <v>361</v>
      </c>
      <c r="B366" s="5">
        <v>50</v>
      </c>
      <c r="C366" s="10" t="s">
        <v>905</v>
      </c>
      <c r="D366" s="7" t="s">
        <v>1693</v>
      </c>
      <c r="E366" s="8" t="str">
        <f>T("奉賢卷-追尋先賢的足音")</f>
        <v>奉賢卷-追尋先賢的足音</v>
      </c>
      <c r="F366" s="7" t="s">
        <v>2909</v>
      </c>
      <c r="G366" s="7" t="str">
        <f t="shared" si="21"/>
        <v>百家</v>
      </c>
      <c r="H366" s="7" t="str">
        <f>T("20100401")</f>
        <v>20100401</v>
      </c>
      <c r="I366" s="7">
        <v>32</v>
      </c>
      <c r="J366" s="7">
        <v>192</v>
      </c>
      <c r="K366" s="9" t="s">
        <v>263</v>
      </c>
    </row>
    <row r="367" spans="1:11" x14ac:dyDescent="0.25">
      <c r="A367" s="5">
        <v>362</v>
      </c>
      <c r="B367" s="5">
        <v>51</v>
      </c>
      <c r="C367" s="10" t="s">
        <v>906</v>
      </c>
      <c r="D367" s="7" t="s">
        <v>1694</v>
      </c>
      <c r="E367" s="8" t="str">
        <f>T("楊浦卷-雕欄玉砌應猶在")</f>
        <v>楊浦卷-雕欄玉砌應猶在</v>
      </c>
      <c r="F367" s="7" t="s">
        <v>2910</v>
      </c>
      <c r="G367" s="7" t="str">
        <f t="shared" si="21"/>
        <v>百家</v>
      </c>
      <c r="H367" s="7" t="str">
        <f>T("20100301")</f>
        <v>20100301</v>
      </c>
      <c r="I367" s="7">
        <v>32</v>
      </c>
      <c r="J367" s="7">
        <v>192</v>
      </c>
      <c r="K367" s="9" t="s">
        <v>263</v>
      </c>
    </row>
    <row r="368" spans="1:11" x14ac:dyDescent="0.25">
      <c r="A368" s="5">
        <v>363</v>
      </c>
      <c r="B368" s="5">
        <v>52</v>
      </c>
      <c r="C368" s="10" t="s">
        <v>907</v>
      </c>
      <c r="D368" s="7" t="s">
        <v>1695</v>
      </c>
      <c r="E368" s="8" t="str">
        <f>T("浦東卷-江面吹來千年的風")</f>
        <v>浦東卷-江面吹來千年的風</v>
      </c>
      <c r="F368" s="7" t="s">
        <v>2911</v>
      </c>
      <c r="G368" s="7" t="str">
        <f t="shared" si="21"/>
        <v>百家</v>
      </c>
      <c r="H368" s="7" t="str">
        <f>T("20100401")</f>
        <v>20100401</v>
      </c>
      <c r="I368" s="7">
        <v>32</v>
      </c>
      <c r="J368" s="7">
        <v>192</v>
      </c>
      <c r="K368" s="9" t="s">
        <v>263</v>
      </c>
    </row>
    <row r="369" spans="1:11" x14ac:dyDescent="0.25">
      <c r="A369" s="5">
        <v>364</v>
      </c>
      <c r="B369" s="5">
        <v>53</v>
      </c>
      <c r="C369" s="10" t="s">
        <v>413</v>
      </c>
      <c r="D369" s="7" t="s">
        <v>1696</v>
      </c>
      <c r="E369" s="8" t="str">
        <f>T("崇明卷-悠遊綠島")</f>
        <v>崇明卷-悠遊綠島</v>
      </c>
      <c r="F369" s="7" t="s">
        <v>2912</v>
      </c>
      <c r="G369" s="7" t="str">
        <f t="shared" si="21"/>
        <v>百家</v>
      </c>
      <c r="H369" s="7" t="str">
        <f>T("20100401")</f>
        <v>20100401</v>
      </c>
      <c r="I369" s="7">
        <v>32</v>
      </c>
      <c r="J369" s="7">
        <v>192</v>
      </c>
      <c r="K369" s="9" t="s">
        <v>263</v>
      </c>
    </row>
    <row r="370" spans="1:11" x14ac:dyDescent="0.25">
      <c r="A370" s="5">
        <v>365</v>
      </c>
      <c r="B370" s="5">
        <v>54</v>
      </c>
      <c r="C370" s="10" t="s">
        <v>908</v>
      </c>
      <c r="D370" s="7" t="s">
        <v>1697</v>
      </c>
      <c r="E370" s="8" t="str">
        <f>T("寶山卷-吳淞文化之旅")</f>
        <v>寶山卷-吳淞文化之旅</v>
      </c>
      <c r="F370" s="7" t="s">
        <v>2913</v>
      </c>
      <c r="G370" s="7" t="str">
        <f t="shared" si="21"/>
        <v>百家</v>
      </c>
      <c r="H370" s="7" t="str">
        <f>T("20100401")</f>
        <v>20100401</v>
      </c>
      <c r="I370" s="7">
        <v>32</v>
      </c>
      <c r="J370" s="7">
        <v>192</v>
      </c>
      <c r="K370" s="9" t="s">
        <v>263</v>
      </c>
    </row>
    <row r="371" spans="1:11" x14ac:dyDescent="0.25">
      <c r="A371" s="5">
        <v>366</v>
      </c>
      <c r="B371" s="5">
        <v>55</v>
      </c>
      <c r="C371" s="10" t="s">
        <v>909</v>
      </c>
      <c r="D371" s="7" t="s">
        <v>1698</v>
      </c>
      <c r="E371" s="8" t="str">
        <f>T("長寧卷-繁華深處")</f>
        <v>長寧卷-繁華深處</v>
      </c>
      <c r="F371" s="7" t="s">
        <v>2908</v>
      </c>
      <c r="G371" s="7" t="str">
        <f t="shared" si="21"/>
        <v>百家</v>
      </c>
      <c r="H371" s="7" t="str">
        <f>T("20100301")</f>
        <v>20100301</v>
      </c>
      <c r="I371" s="7">
        <v>32</v>
      </c>
      <c r="J371" s="7">
        <v>192</v>
      </c>
      <c r="K371" s="9" t="s">
        <v>263</v>
      </c>
    </row>
    <row r="372" spans="1:11" x14ac:dyDescent="0.25">
      <c r="A372" s="5">
        <v>367</v>
      </c>
      <c r="B372" s="5">
        <v>56</v>
      </c>
      <c r="C372" s="10" t="s">
        <v>910</v>
      </c>
      <c r="D372" s="7" t="s">
        <v>1699</v>
      </c>
      <c r="E372" s="8" t="str">
        <f>T("濟南歷史大事件")</f>
        <v>濟南歷史大事件</v>
      </c>
      <c r="F372" s="7" t="s">
        <v>1962</v>
      </c>
      <c r="G372" s="7" t="str">
        <f>T("濟南")</f>
        <v>濟南</v>
      </c>
      <c r="H372" s="7" t="str">
        <f>T("20100901")</f>
        <v>20100901</v>
      </c>
      <c r="I372" s="7">
        <v>18</v>
      </c>
      <c r="J372" s="7">
        <v>108</v>
      </c>
      <c r="K372" s="9" t="s">
        <v>263</v>
      </c>
    </row>
    <row r="373" spans="1:11" x14ac:dyDescent="0.25">
      <c r="A373" s="5">
        <v>368</v>
      </c>
      <c r="B373" s="5">
        <v>57</v>
      </c>
      <c r="C373" s="10" t="s">
        <v>958</v>
      </c>
      <c r="D373" s="7" t="s">
        <v>1700</v>
      </c>
      <c r="E373" s="8" t="str">
        <f>T("徜徉在雄渾和細膩間")</f>
        <v>徜徉在雄渾和細膩間</v>
      </c>
      <c r="F373" s="7" t="s">
        <v>2914</v>
      </c>
      <c r="G373" s="7" t="str">
        <f>T("旅遊教育")</f>
        <v>旅遊教育</v>
      </c>
      <c r="H373" s="7" t="str">
        <f>T("20060101")</f>
        <v>20060101</v>
      </c>
      <c r="I373" s="7">
        <v>20</v>
      </c>
      <c r="J373" s="7">
        <v>120</v>
      </c>
      <c r="K373" s="9" t="s">
        <v>1329</v>
      </c>
    </row>
    <row r="374" spans="1:11" x14ac:dyDescent="0.25">
      <c r="A374" s="5">
        <v>369</v>
      </c>
      <c r="B374" s="5">
        <v>58</v>
      </c>
      <c r="C374" s="10" t="s">
        <v>959</v>
      </c>
      <c r="D374" s="7" t="s">
        <v>1701</v>
      </c>
      <c r="E374" s="8" t="str">
        <f>T("紫禁城的流金歲月")</f>
        <v>紫禁城的流金歲月</v>
      </c>
      <c r="F374" s="7" t="s">
        <v>2915</v>
      </c>
      <c r="G374" s="7" t="str">
        <f>T("旅遊教育")</f>
        <v>旅遊教育</v>
      </c>
      <c r="H374" s="7" t="str">
        <f>T("20051101")</f>
        <v>20051101</v>
      </c>
      <c r="I374" s="7">
        <v>20</v>
      </c>
      <c r="J374" s="7">
        <v>120</v>
      </c>
      <c r="K374" s="9" t="s">
        <v>1329</v>
      </c>
    </row>
    <row r="375" spans="1:11" x14ac:dyDescent="0.25">
      <c r="A375" s="5">
        <v>370</v>
      </c>
      <c r="B375" s="5">
        <v>59</v>
      </c>
      <c r="C375" s="10" t="s">
        <v>183</v>
      </c>
      <c r="D375" s="7" t="s">
        <v>1702</v>
      </c>
      <c r="E375" s="8" t="str">
        <f>T("經典江蘇三十年：歷史上的今天")</f>
        <v>經典江蘇三十年：歷史上的今天</v>
      </c>
      <c r="F375" s="7" t="s">
        <v>2916</v>
      </c>
      <c r="G375" s="7" t="str">
        <f>T("東南大學")</f>
        <v>東南大學</v>
      </c>
      <c r="H375" s="7" t="str">
        <f>T("20081101")</f>
        <v>20081101</v>
      </c>
      <c r="I375" s="7">
        <v>48</v>
      </c>
      <c r="J375" s="7">
        <v>288</v>
      </c>
      <c r="K375" s="9" t="s">
        <v>1329</v>
      </c>
    </row>
    <row r="376" spans="1:11" x14ac:dyDescent="0.25">
      <c r="A376" s="5">
        <v>371</v>
      </c>
      <c r="B376" s="5">
        <v>60</v>
      </c>
      <c r="C376" s="10" t="s">
        <v>1011</v>
      </c>
      <c r="D376" s="7" t="s">
        <v>1703</v>
      </c>
      <c r="E376" s="8" t="str">
        <f>T("當代北京居住史話")</f>
        <v>當代北京居住史話</v>
      </c>
      <c r="F376" s="7" t="s">
        <v>2917</v>
      </c>
      <c r="G376" s="7" t="str">
        <f>T("當代中國")</f>
        <v>當代中國</v>
      </c>
      <c r="H376" s="7" t="str">
        <f>T("20090601")</f>
        <v>20090601</v>
      </c>
      <c r="I376" s="7">
        <v>22</v>
      </c>
      <c r="J376" s="7">
        <v>132</v>
      </c>
      <c r="K376" s="9" t="s">
        <v>263</v>
      </c>
    </row>
    <row r="377" spans="1:11" x14ac:dyDescent="0.25">
      <c r="A377" s="5">
        <v>372</v>
      </c>
      <c r="B377" s="5">
        <v>61</v>
      </c>
      <c r="C377" s="10" t="s">
        <v>1013</v>
      </c>
      <c r="D377" s="7" t="s">
        <v>1704</v>
      </c>
      <c r="E377" s="8" t="str">
        <f>T("當代北京閱讀史話")</f>
        <v>當代北京閱讀史話</v>
      </c>
      <c r="F377" s="7" t="s">
        <v>2918</v>
      </c>
      <c r="G377" s="7" t="str">
        <f>T("當代中國")</f>
        <v>當代中國</v>
      </c>
      <c r="H377" s="7" t="str">
        <f>T("20100101")</f>
        <v>20100101</v>
      </c>
      <c r="I377" s="7">
        <v>25</v>
      </c>
      <c r="J377" s="7">
        <v>150</v>
      </c>
      <c r="K377" s="9" t="s">
        <v>1329</v>
      </c>
    </row>
    <row r="378" spans="1:11" x14ac:dyDescent="0.25">
      <c r="A378" s="5">
        <v>373</v>
      </c>
      <c r="B378" s="5">
        <v>62</v>
      </c>
      <c r="C378" s="10" t="s">
        <v>319</v>
      </c>
      <c r="D378" s="7" t="s">
        <v>1705</v>
      </c>
      <c r="E378" s="8" t="str">
        <f>T("二分明月－當代揚州女性")</f>
        <v>二分明月－當代揚州女性</v>
      </c>
      <c r="F378" s="7" t="s">
        <v>2919</v>
      </c>
      <c r="G378" s="7" t="str">
        <f>T("社科文獻")</f>
        <v>社科文獻</v>
      </c>
      <c r="H378" s="7" t="str">
        <f>T("20051201")</f>
        <v>20051201</v>
      </c>
      <c r="I378" s="7">
        <v>32</v>
      </c>
      <c r="J378" s="7">
        <v>192</v>
      </c>
      <c r="K378" s="9" t="s">
        <v>1329</v>
      </c>
    </row>
    <row r="379" spans="1:11" x14ac:dyDescent="0.25">
      <c r="A379" s="5">
        <v>374</v>
      </c>
      <c r="B379" s="5">
        <v>63</v>
      </c>
      <c r="C379" s="10" t="s">
        <v>1071</v>
      </c>
      <c r="D379" s="7" t="s">
        <v>1706</v>
      </c>
      <c r="E379" s="8" t="str">
        <f>T("揚州民歌史略")</f>
        <v>揚州民歌史略</v>
      </c>
      <c r="F379" s="7" t="s">
        <v>2920</v>
      </c>
      <c r="G379" s="7" t="str">
        <f>T("社科文獻")</f>
        <v>社科文獻</v>
      </c>
      <c r="H379" s="7" t="str">
        <f>T("20060701")</f>
        <v>20060701</v>
      </c>
      <c r="I379" s="7">
        <v>35</v>
      </c>
      <c r="J379" s="7">
        <v>210</v>
      </c>
      <c r="K379" s="9" t="s">
        <v>1329</v>
      </c>
    </row>
    <row r="380" spans="1:11" x14ac:dyDescent="0.25">
      <c r="A380" s="5">
        <v>375</v>
      </c>
      <c r="B380" s="5">
        <v>64</v>
      </c>
      <c r="C380" s="10" t="s">
        <v>1197</v>
      </c>
      <c r="D380" s="7" t="s">
        <v>1707</v>
      </c>
      <c r="E380" s="8" t="str">
        <f>T("揚州風土記略 蕪城懷舊錄")</f>
        <v>揚州風土記略 蕪城懷舊錄</v>
      </c>
      <c r="F380" s="7" t="s">
        <v>2921</v>
      </c>
      <c r="G380" s="7" t="str">
        <f>T("江蘇古籍")</f>
        <v>江蘇古籍</v>
      </c>
      <c r="H380" s="7" t="str">
        <f>T("20021001")</f>
        <v>20021001</v>
      </c>
      <c r="I380" s="7">
        <v>18</v>
      </c>
      <c r="J380" s="7">
        <v>108</v>
      </c>
      <c r="K380" s="9" t="s">
        <v>1329</v>
      </c>
    </row>
    <row r="381" spans="1:11" x14ac:dyDescent="0.25">
      <c r="A381" s="5">
        <v>376</v>
      </c>
      <c r="B381" s="5">
        <v>65</v>
      </c>
      <c r="C381" s="10" t="s">
        <v>1198</v>
      </c>
      <c r="D381" s="7" t="s">
        <v>1708</v>
      </c>
      <c r="E381" s="8" t="str">
        <f>T("揚州風物")</f>
        <v>揚州風物</v>
      </c>
      <c r="F381" s="7" t="s">
        <v>2922</v>
      </c>
      <c r="G381" s="7" t="str">
        <f>T("江蘇古籍")</f>
        <v>江蘇古籍</v>
      </c>
      <c r="H381" s="7" t="str">
        <f>T("20020401")</f>
        <v>20020401</v>
      </c>
      <c r="I381" s="7">
        <v>10</v>
      </c>
      <c r="J381" s="7">
        <v>60</v>
      </c>
      <c r="K381" s="9" t="s">
        <v>1329</v>
      </c>
    </row>
    <row r="382" spans="1:11" x14ac:dyDescent="0.25">
      <c r="A382" s="5">
        <v>377</v>
      </c>
      <c r="B382" s="5">
        <v>66</v>
      </c>
      <c r="C382" s="10" t="s">
        <v>1199</v>
      </c>
      <c r="D382" s="7" t="s">
        <v>1709</v>
      </c>
      <c r="E382" s="8" t="str">
        <f>T("揚州建置筆談")</f>
        <v>揚州建置筆談</v>
      </c>
      <c r="F382" s="7" t="s">
        <v>2923</v>
      </c>
      <c r="G382" s="7" t="str">
        <f>T("江蘇古籍")</f>
        <v>江蘇古籍</v>
      </c>
      <c r="H382" s="7" t="str">
        <f>T("20020401")</f>
        <v>20020401</v>
      </c>
      <c r="I382" s="7">
        <v>18</v>
      </c>
      <c r="J382" s="7">
        <v>108</v>
      </c>
      <c r="K382" s="9" t="s">
        <v>263</v>
      </c>
    </row>
    <row r="383" spans="1:11" x14ac:dyDescent="0.25">
      <c r="A383" s="5">
        <v>378</v>
      </c>
      <c r="B383" s="5">
        <v>67</v>
      </c>
      <c r="C383" s="10" t="s">
        <v>1206</v>
      </c>
      <c r="D383" s="7" t="s">
        <v>1710</v>
      </c>
      <c r="E383" s="8" t="str">
        <f>T("黔東南人口的現狀與未來")</f>
        <v>黔東南人口的現狀與未來</v>
      </c>
      <c r="F383" s="7" t="s">
        <v>2616</v>
      </c>
      <c r="G383" s="7" t="str">
        <f>T("巴蜀書社")</f>
        <v>巴蜀書社</v>
      </c>
      <c r="H383" s="7" t="str">
        <f>T("20040301")</f>
        <v>20040301</v>
      </c>
      <c r="I383" s="7">
        <v>18</v>
      </c>
      <c r="J383" s="7">
        <v>108</v>
      </c>
      <c r="K383" s="9" t="s">
        <v>263</v>
      </c>
    </row>
    <row r="384" spans="1:11" x14ac:dyDescent="0.25">
      <c r="A384" s="5">
        <v>379</v>
      </c>
      <c r="B384" s="5">
        <v>68</v>
      </c>
      <c r="C384" s="10" t="s">
        <v>1207</v>
      </c>
      <c r="D384" s="7" t="s">
        <v>1711</v>
      </c>
      <c r="E384" s="8" t="str">
        <f>T("錦裏街名話舊")</f>
        <v>錦裏街名話舊</v>
      </c>
      <c r="F384" s="7" t="s">
        <v>2924</v>
      </c>
      <c r="G384" s="7" t="str">
        <f>T("巴蜀書社")</f>
        <v>巴蜀書社</v>
      </c>
      <c r="H384" s="7" t="str">
        <f>T("20050601")</f>
        <v>20050601</v>
      </c>
      <c r="I384" s="7">
        <v>10</v>
      </c>
      <c r="J384" s="7">
        <v>60</v>
      </c>
      <c r="K384" s="9" t="s">
        <v>263</v>
      </c>
    </row>
    <row r="385" spans="1:11" x14ac:dyDescent="0.25">
      <c r="A385" s="5">
        <v>380</v>
      </c>
      <c r="B385" s="5">
        <v>69</v>
      </c>
      <c r="C385" s="10" t="s">
        <v>1213</v>
      </c>
      <c r="D385" s="7" t="s">
        <v>1712</v>
      </c>
      <c r="E385" s="8" t="str">
        <f>T("甯南縣政協文史資料")</f>
        <v>甯南縣政協文史資料</v>
      </c>
      <c r="F385" s="7" t="s">
        <v>2925</v>
      </c>
      <c r="G385" s="7" t="str">
        <f>T("巴蜀書社")</f>
        <v>巴蜀書社</v>
      </c>
      <c r="H385" s="7" t="str">
        <f>T("20061101")</f>
        <v>20061101</v>
      </c>
      <c r="I385" s="7">
        <v>18</v>
      </c>
      <c r="J385" s="7">
        <v>108</v>
      </c>
      <c r="K385" s="9" t="s">
        <v>263</v>
      </c>
    </row>
    <row r="386" spans="1:11" x14ac:dyDescent="0.25">
      <c r="A386" s="5">
        <v>381</v>
      </c>
      <c r="B386" s="5">
        <v>70</v>
      </c>
      <c r="C386" s="10" t="s">
        <v>244</v>
      </c>
      <c r="D386" s="7" t="s">
        <v>1713</v>
      </c>
      <c r="E386" s="8" t="str">
        <f>T("民俗視野中的清代揚州俗文化")</f>
        <v>民俗視野中的清代揚州俗文化</v>
      </c>
      <c r="F386" s="7" t="s">
        <v>2926</v>
      </c>
      <c r="G386" s="7" t="str">
        <f>T("上海社科")</f>
        <v>上海社科</v>
      </c>
      <c r="H386" s="7" t="str">
        <f>T("20060601")</f>
        <v>20060601</v>
      </c>
      <c r="I386" s="7">
        <v>26</v>
      </c>
      <c r="J386" s="7">
        <v>156</v>
      </c>
      <c r="K386" s="9" t="s">
        <v>1329</v>
      </c>
    </row>
    <row r="387" spans="1:11" x14ac:dyDescent="0.25">
      <c r="A387" s="5">
        <v>382</v>
      </c>
      <c r="B387" s="5">
        <v>71</v>
      </c>
      <c r="C387" s="10" t="s">
        <v>1235</v>
      </c>
      <c r="D387" s="7" t="s">
        <v>1714</v>
      </c>
      <c r="E387" s="8" t="str">
        <f>T("中華英烈墓")</f>
        <v>中華英烈墓</v>
      </c>
      <c r="F387" s="7" t="s">
        <v>2927</v>
      </c>
      <c r="G387" s="7" t="str">
        <f>T("大連")</f>
        <v>大連</v>
      </c>
      <c r="H387" s="7" t="str">
        <f>T("20070901")</f>
        <v>20070901</v>
      </c>
      <c r="I387" s="7">
        <v>39.799999999999997</v>
      </c>
      <c r="J387" s="7">
        <v>239</v>
      </c>
      <c r="K387" s="9" t="s">
        <v>263</v>
      </c>
    </row>
    <row r="388" spans="1:11" x14ac:dyDescent="0.25">
      <c r="A388" s="5">
        <v>383</v>
      </c>
      <c r="B388" s="5">
        <v>72</v>
      </c>
      <c r="C388" s="10" t="s">
        <v>245</v>
      </c>
      <c r="D388" s="7" t="s">
        <v>1715</v>
      </c>
      <c r="E388" s="8" t="str">
        <f>T("上海歷史的今天")</f>
        <v>上海歷史的今天</v>
      </c>
      <c r="F388" s="7" t="s">
        <v>2928</v>
      </c>
      <c r="G388" s="7" t="str">
        <f>T("上海文藝")</f>
        <v>上海文藝</v>
      </c>
      <c r="H388" s="7" t="str">
        <f>T("20090501")</f>
        <v>20090501</v>
      </c>
      <c r="I388" s="7">
        <v>150</v>
      </c>
      <c r="J388" s="7">
        <v>900</v>
      </c>
      <c r="K388" s="9" t="s">
        <v>263</v>
      </c>
    </row>
    <row r="389" spans="1:11" x14ac:dyDescent="0.25">
      <c r="A389" s="5">
        <v>384</v>
      </c>
      <c r="B389" s="5">
        <v>73</v>
      </c>
      <c r="C389" s="10" t="s">
        <v>1243</v>
      </c>
      <c r="D389" s="7" t="s">
        <v>1716</v>
      </c>
      <c r="E389" s="8" t="str">
        <f>T("惜餘春軼事 揚州訪舊錄")</f>
        <v>惜餘春軼事 揚州訪舊錄</v>
      </c>
      <c r="F389" s="7" t="s">
        <v>1312</v>
      </c>
      <c r="G389" s="7" t="str">
        <f>T("廣陵書社")</f>
        <v>廣陵書社</v>
      </c>
      <c r="H389" s="7" t="str">
        <f>T("")</f>
        <v/>
      </c>
      <c r="I389" s="7">
        <v>12.8</v>
      </c>
      <c r="J389" s="7">
        <v>77</v>
      </c>
      <c r="K389" s="9" t="s">
        <v>1329</v>
      </c>
    </row>
    <row r="390" spans="1:11" x14ac:dyDescent="0.25">
      <c r="A390" s="5">
        <v>385</v>
      </c>
      <c r="B390" s="5">
        <v>74</v>
      </c>
      <c r="C390" s="10" t="s">
        <v>1244</v>
      </c>
      <c r="D390" s="7" t="s">
        <v>1717</v>
      </c>
      <c r="E390" s="8" t="str">
        <f>T("山色有無.揚州名山")</f>
        <v>山色有無.揚州名山</v>
      </c>
      <c r="F390" s="7" t="s">
        <v>2929</v>
      </c>
      <c r="G390" s="7" t="str">
        <f>T("廣陵書社")</f>
        <v>廣陵書社</v>
      </c>
      <c r="H390" s="7" t="str">
        <f>T("20060301")</f>
        <v>20060301</v>
      </c>
      <c r="I390" s="7">
        <v>16</v>
      </c>
      <c r="J390" s="7">
        <v>96</v>
      </c>
      <c r="K390" s="9" t="s">
        <v>263</v>
      </c>
    </row>
    <row r="391" spans="1:11" x14ac:dyDescent="0.25">
      <c r="A391" s="5">
        <v>386</v>
      </c>
      <c r="B391" s="5">
        <v>75</v>
      </c>
      <c r="C391" s="10" t="s">
        <v>1251</v>
      </c>
      <c r="D391" s="7" t="s">
        <v>1718</v>
      </c>
      <c r="E391" s="8" t="str">
        <f>T("大理喜洲-千年古鎮的魅力")</f>
        <v>大理喜洲-千年古鎮的魅力</v>
      </c>
      <c r="F391" s="7" t="s">
        <v>2930</v>
      </c>
      <c r="G391" s="7" t="str">
        <f>T("雲南美術")</f>
        <v>雲南美術</v>
      </c>
      <c r="H391" s="7" t="str">
        <f>T("")</f>
        <v/>
      </c>
      <c r="I391" s="7">
        <v>24</v>
      </c>
      <c r="J391" s="7">
        <v>144</v>
      </c>
      <c r="K391" s="9" t="s">
        <v>263</v>
      </c>
    </row>
    <row r="392" spans="1:11" x14ac:dyDescent="0.25">
      <c r="A392" s="5">
        <v>387</v>
      </c>
      <c r="B392" s="5">
        <v>76</v>
      </c>
      <c r="C392" s="10" t="s">
        <v>1252</v>
      </c>
      <c r="D392" s="7" t="s">
        <v>1718</v>
      </c>
      <c r="E392" s="8" t="str">
        <f>T("香格里拉獨克宗-香巴拉的月光寶城")</f>
        <v>香格里拉獨克宗-香巴拉的月光寶城</v>
      </c>
      <c r="F392" s="7" t="s">
        <v>2931</v>
      </c>
      <c r="G392" s="7" t="str">
        <f>T("雲南美術")</f>
        <v>雲南美術</v>
      </c>
      <c r="H392" s="7" t="str">
        <f>T("")</f>
        <v/>
      </c>
      <c r="I392" s="7">
        <v>24</v>
      </c>
      <c r="J392" s="7">
        <v>144</v>
      </c>
      <c r="K392" s="9" t="s">
        <v>263</v>
      </c>
    </row>
    <row r="393" spans="1:11" x14ac:dyDescent="0.25">
      <c r="A393" s="5">
        <v>388</v>
      </c>
      <c r="B393" s="5">
        <v>77</v>
      </c>
      <c r="C393" s="10" t="s">
        <v>1253</v>
      </c>
      <c r="D393" s="7" t="s">
        <v>1719</v>
      </c>
      <c r="E393" s="8" t="str">
        <f>T("雲南新旅遊風物志")</f>
        <v>雲南新旅遊風物志</v>
      </c>
      <c r="F393" s="7" t="s">
        <v>2932</v>
      </c>
      <c r="G393" s="7" t="str">
        <f>T("雲南美術")</f>
        <v>雲南美術</v>
      </c>
      <c r="H393" s="7" t="str">
        <f>T("")</f>
        <v/>
      </c>
      <c r="I393" s="7">
        <v>35</v>
      </c>
      <c r="J393" s="7">
        <v>210</v>
      </c>
      <c r="K393" s="9" t="s">
        <v>263</v>
      </c>
    </row>
    <row r="394" spans="1:11" x14ac:dyDescent="0.25">
      <c r="A394" s="5">
        <v>389</v>
      </c>
      <c r="B394" s="5">
        <v>78</v>
      </c>
      <c r="C394" s="10" t="s">
        <v>1259</v>
      </c>
      <c r="D394" s="7" t="s">
        <v>1720</v>
      </c>
      <c r="E394" s="8" t="str">
        <f>T("國家地理·神秘中國：遺落的名人往事")</f>
        <v>國家地理·神秘中國：遺落的名人往事</v>
      </c>
      <c r="F394" s="7" t="s">
        <v>2933</v>
      </c>
      <c r="G394" s="7" t="str">
        <f>T("吉林文史")</f>
        <v>吉林文史</v>
      </c>
      <c r="H394" s="7" t="str">
        <f>T("20080501")</f>
        <v>20080501</v>
      </c>
      <c r="I394" s="7">
        <v>29.8</v>
      </c>
      <c r="J394" s="7">
        <v>179</v>
      </c>
      <c r="K394" s="9" t="s">
        <v>1329</v>
      </c>
    </row>
    <row r="395" spans="1:11" x14ac:dyDescent="0.25">
      <c r="A395" s="5">
        <v>390</v>
      </c>
      <c r="B395" s="5">
        <v>79</v>
      </c>
      <c r="C395" s="10" t="s">
        <v>463</v>
      </c>
      <c r="D395" s="7" t="s">
        <v>1721</v>
      </c>
      <c r="E395" s="8" t="str">
        <f>T("國家地理·神秘中國：靈山秀水之間")</f>
        <v>國家地理·神秘中國：靈山秀水之間</v>
      </c>
      <c r="F395" s="7" t="s">
        <v>2933</v>
      </c>
      <c r="G395" s="7" t="str">
        <f>T("吉林文史")</f>
        <v>吉林文史</v>
      </c>
      <c r="H395" s="7" t="str">
        <f>T("20080601")</f>
        <v>20080601</v>
      </c>
      <c r="I395" s="7">
        <v>29.8</v>
      </c>
      <c r="J395" s="7">
        <v>179</v>
      </c>
      <c r="K395" s="9" t="s">
        <v>1329</v>
      </c>
    </row>
    <row r="396" spans="1:11" x14ac:dyDescent="0.25">
      <c r="A396" s="5">
        <v>391</v>
      </c>
      <c r="B396" s="5">
        <v>80</v>
      </c>
      <c r="C396" s="10" t="s">
        <v>1260</v>
      </c>
      <c r="D396" s="7" t="s">
        <v>1722</v>
      </c>
      <c r="E396" s="8" t="str">
        <f>T("國家地理·神秘中國：緣結奇石美玉")</f>
        <v>國家地理·神秘中國：緣結奇石美玉</v>
      </c>
      <c r="F396" s="7" t="s">
        <v>2933</v>
      </c>
      <c r="G396" s="7" t="str">
        <f>T("吉林文史")</f>
        <v>吉林文史</v>
      </c>
      <c r="H396" s="7" t="str">
        <f>T("20090420")</f>
        <v>20090420</v>
      </c>
      <c r="I396" s="7">
        <v>29.8</v>
      </c>
      <c r="J396" s="7">
        <v>179</v>
      </c>
      <c r="K396" s="9" t="s">
        <v>1329</v>
      </c>
    </row>
    <row r="397" spans="1:11" x14ac:dyDescent="0.25">
      <c r="A397" s="5">
        <v>392</v>
      </c>
      <c r="B397" s="5">
        <v>81</v>
      </c>
      <c r="C397" s="10" t="s">
        <v>1261</v>
      </c>
      <c r="D397" s="7" t="s">
        <v>1723</v>
      </c>
      <c r="E397" s="8" t="str">
        <f>T("盧灣卷-在精品魅力間徜徉")</f>
        <v>盧灣卷-在精品魅力間徜徉</v>
      </c>
      <c r="F397" s="7" t="s">
        <v>2934</v>
      </c>
      <c r="G397" s="7" t="str">
        <f>T("百家")</f>
        <v>百家</v>
      </c>
      <c r="H397" s="7" t="str">
        <f>T("20060701")</f>
        <v>20060701</v>
      </c>
      <c r="I397" s="7">
        <v>32</v>
      </c>
      <c r="J397" s="7">
        <v>192</v>
      </c>
      <c r="K397" s="9" t="s">
        <v>263</v>
      </c>
    </row>
    <row r="398" spans="1:11" x14ac:dyDescent="0.25">
      <c r="A398" s="5">
        <v>393</v>
      </c>
      <c r="B398" s="5">
        <v>82</v>
      </c>
      <c r="C398" s="10" t="s">
        <v>1276</v>
      </c>
      <c r="D398" s="7" t="s">
        <v>1724</v>
      </c>
      <c r="E398" s="8" t="str">
        <f>T("新疆荒漠昆蟲區系及其形成與演變")</f>
        <v>新疆荒漠昆蟲區系及其形成與演變</v>
      </c>
      <c r="F398" s="7" t="s">
        <v>1962</v>
      </c>
      <c r="G398" s="7" t="str">
        <f>T("新疆科技")</f>
        <v>新疆科技</v>
      </c>
      <c r="H398" s="7" t="str">
        <f>T("")</f>
        <v/>
      </c>
      <c r="I398" s="7">
        <v>68</v>
      </c>
      <c r="J398" s="7">
        <v>408</v>
      </c>
      <c r="K398" s="9" t="s">
        <v>263</v>
      </c>
    </row>
    <row r="399" spans="1:11" x14ac:dyDescent="0.25">
      <c r="A399" s="5">
        <v>394</v>
      </c>
      <c r="B399" s="5">
        <v>83</v>
      </c>
      <c r="C399" s="10" t="s">
        <v>360</v>
      </c>
      <c r="D399" s="7" t="s">
        <v>1725</v>
      </c>
      <c r="E399" s="8" t="str">
        <f>T("新疆夏爾希里自然保護區綜合科學考察")</f>
        <v>新疆夏爾希里自然保護區綜合科學考察</v>
      </c>
      <c r="F399" s="7" t="s">
        <v>1962</v>
      </c>
      <c r="G399" s="7" t="str">
        <f>T("新疆科技")</f>
        <v>新疆科技</v>
      </c>
      <c r="H399" s="7" t="str">
        <f>T("20080201")</f>
        <v>20080201</v>
      </c>
      <c r="I399" s="7">
        <v>115</v>
      </c>
      <c r="J399" s="7">
        <v>690</v>
      </c>
      <c r="K399" s="9" t="s">
        <v>263</v>
      </c>
    </row>
    <row r="400" spans="1:11" x14ac:dyDescent="0.25">
      <c r="A400" s="5">
        <v>395</v>
      </c>
      <c r="B400" s="5">
        <v>84</v>
      </c>
      <c r="C400" s="10" t="s">
        <v>361</v>
      </c>
      <c r="D400" s="7" t="s">
        <v>1726</v>
      </c>
      <c r="E400" s="8" t="str">
        <f>T("新疆極端環境植物種質資源的研究")</f>
        <v>新疆極端環境植物種質資源的研究</v>
      </c>
      <c r="F400" s="7" t="s">
        <v>1962</v>
      </c>
      <c r="G400" s="7" t="str">
        <f>T("新疆科技")</f>
        <v>新疆科技</v>
      </c>
      <c r="H400" s="7" t="str">
        <f>T("20080201")</f>
        <v>20080201</v>
      </c>
      <c r="I400" s="7">
        <v>68</v>
      </c>
      <c r="J400" s="7">
        <v>408</v>
      </c>
      <c r="K400" s="9" t="s">
        <v>263</v>
      </c>
    </row>
    <row r="401" spans="1:11" x14ac:dyDescent="0.25">
      <c r="A401" s="5">
        <v>396</v>
      </c>
      <c r="B401" s="5">
        <v>85</v>
      </c>
      <c r="C401" s="10" t="s">
        <v>1302</v>
      </c>
      <c r="D401" s="7" t="s">
        <v>1727</v>
      </c>
      <c r="E401" s="8" t="str">
        <f>T("笙歌滿庭芳 : 江西古戲臺旅遊")</f>
        <v>笙歌滿庭芳 : 江西古戲臺旅遊</v>
      </c>
      <c r="F401" s="7" t="s">
        <v>2935</v>
      </c>
      <c r="G401" s="7" t="str">
        <f>T("百花洲文藝")</f>
        <v>百花洲文藝</v>
      </c>
      <c r="H401" s="7" t="str">
        <f>T("20090301")</f>
        <v>20090301</v>
      </c>
      <c r="I401" s="7">
        <v>30</v>
      </c>
      <c r="J401" s="7">
        <v>180</v>
      </c>
      <c r="K401" s="9" t="s">
        <v>263</v>
      </c>
    </row>
    <row r="402" spans="1:11" x14ac:dyDescent="0.25">
      <c r="A402" s="19" t="s">
        <v>1330</v>
      </c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5">
        <v>397</v>
      </c>
      <c r="B403" s="5">
        <v>1</v>
      </c>
      <c r="C403" s="10" t="s">
        <v>788</v>
      </c>
      <c r="D403" s="7" t="s">
        <v>1728</v>
      </c>
      <c r="E403" s="8" t="str">
        <f>T("圓明園西洋樓景區的園林建築與精緻文化")</f>
        <v>圓明園西洋樓景區的園林建築與精緻文化</v>
      </c>
      <c r="F403" s="7" t="s">
        <v>2936</v>
      </c>
      <c r="G403" s="7" t="str">
        <f>T("商務印書")</f>
        <v>商務印書</v>
      </c>
      <c r="H403" s="7" t="str">
        <f>T("20090901")</f>
        <v>20090901</v>
      </c>
      <c r="I403" s="7">
        <v>38</v>
      </c>
      <c r="J403" s="7">
        <v>228</v>
      </c>
      <c r="K403" s="9" t="s">
        <v>1331</v>
      </c>
    </row>
    <row r="404" spans="1:11" x14ac:dyDescent="0.25">
      <c r="A404" s="5">
        <v>398</v>
      </c>
      <c r="B404" s="5">
        <v>2</v>
      </c>
      <c r="C404" s="10" t="s">
        <v>455</v>
      </c>
      <c r="D404" s="7" t="s">
        <v>1729</v>
      </c>
      <c r="E404" s="8" t="str">
        <f>T("大都風采")</f>
        <v>大都風采</v>
      </c>
      <c r="F404" s="7" t="s">
        <v>2937</v>
      </c>
      <c r="G404" s="7" t="str">
        <f>T("中華書局")</f>
        <v>中華書局</v>
      </c>
      <c r="H404" s="7" t="str">
        <f>T("20100401")</f>
        <v>20100401</v>
      </c>
      <c r="I404" s="7">
        <v>15</v>
      </c>
      <c r="J404" s="7">
        <v>90</v>
      </c>
      <c r="K404" s="9" t="s">
        <v>1331</v>
      </c>
    </row>
    <row r="405" spans="1:11" x14ac:dyDescent="0.25">
      <c r="A405" s="5">
        <v>399</v>
      </c>
      <c r="B405" s="5">
        <v>3</v>
      </c>
      <c r="C405" s="10" t="s">
        <v>480</v>
      </c>
      <c r="D405" s="7" t="s">
        <v>1730</v>
      </c>
      <c r="E405" s="8" t="str">
        <f>T("異形建築")</f>
        <v>異形建築</v>
      </c>
      <c r="F405" s="7" t="s">
        <v>2938</v>
      </c>
      <c r="G405" s="7" t="str">
        <f>T("生活.讀書")</f>
        <v>生活.讀書</v>
      </c>
      <c r="H405" s="7" t="str">
        <f>T("20061201")</f>
        <v>20061201</v>
      </c>
      <c r="I405" s="7">
        <v>39.799999999999997</v>
      </c>
      <c r="J405" s="7">
        <v>239</v>
      </c>
      <c r="K405" s="9" t="s">
        <v>264</v>
      </c>
    </row>
    <row r="406" spans="1:11" x14ac:dyDescent="0.25">
      <c r="A406" s="5">
        <v>400</v>
      </c>
      <c r="B406" s="5">
        <v>4</v>
      </c>
      <c r="C406" s="10" t="s">
        <v>386</v>
      </c>
      <c r="D406" s="7" t="s">
        <v>1731</v>
      </c>
      <c r="E406" s="8" t="str">
        <f>T("從廢園到燕園")</f>
        <v>從廢園到燕園</v>
      </c>
      <c r="F406" s="7" t="s">
        <v>2939</v>
      </c>
      <c r="G406" s="7" t="str">
        <f>T("北京三聯")</f>
        <v>北京三聯</v>
      </c>
      <c r="H406" s="7" t="str">
        <f>T("20090801")</f>
        <v>20090801</v>
      </c>
      <c r="I406" s="7">
        <v>38</v>
      </c>
      <c r="J406" s="7">
        <v>228</v>
      </c>
      <c r="K406" s="9" t="s">
        <v>264</v>
      </c>
    </row>
    <row r="407" spans="1:11" ht="28.5" x14ac:dyDescent="0.25">
      <c r="A407" s="5">
        <v>401</v>
      </c>
      <c r="B407" s="5">
        <v>5</v>
      </c>
      <c r="C407" s="10" t="s">
        <v>284</v>
      </c>
      <c r="D407" s="7" t="s">
        <v>1732</v>
      </c>
      <c r="E407" s="8" t="str">
        <f>T("建築畫_高等學校建築美術系列教材(第二版)")</f>
        <v>建築畫_高等學校建築美術系列教材(第二版)</v>
      </c>
      <c r="F407" s="7" t="s">
        <v>1962</v>
      </c>
      <c r="G407" s="7" t="str">
        <f>T("建築工業")</f>
        <v>建築工業</v>
      </c>
      <c r="H407" s="7" t="str">
        <f>T("")</f>
        <v/>
      </c>
      <c r="I407" s="7">
        <v>39</v>
      </c>
      <c r="J407" s="7">
        <v>234</v>
      </c>
      <c r="K407" s="9" t="s">
        <v>264</v>
      </c>
    </row>
    <row r="408" spans="1:11" ht="28.5" x14ac:dyDescent="0.25">
      <c r="A408" s="5">
        <v>402</v>
      </c>
      <c r="B408" s="5">
        <v>6</v>
      </c>
      <c r="C408" s="10" t="s">
        <v>389</v>
      </c>
      <c r="D408" s="7" t="s">
        <v>1733</v>
      </c>
      <c r="E408" s="8" t="str">
        <f>T("埃托.索特薩斯及其事務所_國外建築與設計系列")</f>
        <v>埃托.索特薩斯及其事務所_國外建築與設計系列</v>
      </c>
      <c r="F408" s="7" t="s">
        <v>1962</v>
      </c>
      <c r="G408" s="7" t="str">
        <f>T("建築工業")</f>
        <v>建築工業</v>
      </c>
      <c r="H408" s="7" t="str">
        <f>T("")</f>
        <v/>
      </c>
      <c r="I408" s="7">
        <v>88</v>
      </c>
      <c r="J408" s="7">
        <v>528</v>
      </c>
      <c r="K408" s="9" t="s">
        <v>264</v>
      </c>
    </row>
    <row r="409" spans="1:11" x14ac:dyDescent="0.25">
      <c r="A409" s="5">
        <v>403</v>
      </c>
      <c r="B409" s="5">
        <v>7</v>
      </c>
      <c r="C409" s="10" t="s">
        <v>1050</v>
      </c>
      <c r="D409" s="7" t="s">
        <v>1734</v>
      </c>
      <c r="E409" s="8" t="str">
        <f>T("中國設計藝術史論")</f>
        <v>中國設計藝術史論</v>
      </c>
      <c r="F409" s="7" t="s">
        <v>2940</v>
      </c>
      <c r="G409" s="7" t="str">
        <f>T("天津人民")</f>
        <v>天津人民</v>
      </c>
      <c r="H409" s="7" t="str">
        <f>T("20071231")</f>
        <v>20071231</v>
      </c>
      <c r="I409" s="7">
        <v>36</v>
      </c>
      <c r="J409" s="7">
        <v>216</v>
      </c>
      <c r="K409" s="9" t="s">
        <v>1331</v>
      </c>
    </row>
    <row r="410" spans="1:11" s="22" customFormat="1" ht="28.5" x14ac:dyDescent="0.25">
      <c r="A410" s="5">
        <v>404</v>
      </c>
      <c r="B410" s="5">
        <v>8</v>
      </c>
      <c r="C410" s="10" t="s">
        <v>492</v>
      </c>
      <c r="D410" s="7" t="s">
        <v>1735</v>
      </c>
      <c r="E410" s="8" t="str">
        <f>T("絲綢之路研究叢書 ： 絲綢之路古代種族研究")</f>
        <v>絲綢之路研究叢書 ： 絲綢之路古代種族研究</v>
      </c>
      <c r="F410" s="7" t="s">
        <v>2941</v>
      </c>
      <c r="G410" s="7" t="str">
        <f>T("新疆人民")</f>
        <v>新疆人民</v>
      </c>
      <c r="H410" s="7" t="str">
        <f>T("20090901")</f>
        <v>20090901</v>
      </c>
      <c r="I410" s="7">
        <v>87.5</v>
      </c>
      <c r="J410" s="7">
        <v>525</v>
      </c>
      <c r="K410" s="9" t="s">
        <v>1331</v>
      </c>
    </row>
    <row r="411" spans="1:11" ht="28.5" x14ac:dyDescent="0.25">
      <c r="A411" s="5">
        <v>405</v>
      </c>
      <c r="B411" s="5">
        <v>9</v>
      </c>
      <c r="C411" s="10" t="s">
        <v>303</v>
      </c>
      <c r="D411" s="7" t="s">
        <v>1736</v>
      </c>
      <c r="E411" s="8" t="str">
        <f>T("《新疆通史》研究叢書：唐安西都護府史事編年")</f>
        <v>《新疆通史》研究叢書：唐安西都護府史事編年</v>
      </c>
      <c r="F411" s="7" t="s">
        <v>1962</v>
      </c>
      <c r="G411" s="7" t="str">
        <f>T("新疆人民")</f>
        <v>新疆人民</v>
      </c>
      <c r="H411" s="7" t="str">
        <f>T("20120301")</f>
        <v>20120301</v>
      </c>
      <c r="I411" s="7">
        <v>98</v>
      </c>
      <c r="J411" s="7">
        <v>588</v>
      </c>
      <c r="K411" s="9" t="s">
        <v>1331</v>
      </c>
    </row>
    <row r="412" spans="1:11" ht="28.5" x14ac:dyDescent="0.25">
      <c r="A412" s="5">
        <v>406</v>
      </c>
      <c r="B412" s="5">
        <v>10</v>
      </c>
      <c r="C412" s="10" t="s">
        <v>304</v>
      </c>
      <c r="D412" s="7" t="s">
        <v>1737</v>
      </c>
      <c r="E412" s="8" t="str">
        <f>T("《新疆通史》研究叢書：西域史地三種資料校注")</f>
        <v>《新疆通史》研究叢書：西域史地三種資料校注</v>
      </c>
      <c r="F412" s="7" t="s">
        <v>1962</v>
      </c>
      <c r="G412" s="7" t="str">
        <f>T("新疆人民")</f>
        <v>新疆人民</v>
      </c>
      <c r="H412" s="7" t="str">
        <f>T("20120301")</f>
        <v>20120301</v>
      </c>
      <c r="I412" s="7">
        <v>65</v>
      </c>
      <c r="J412" s="7">
        <v>390</v>
      </c>
      <c r="K412" s="9" t="s">
        <v>1331</v>
      </c>
    </row>
    <row r="413" spans="1:11" x14ac:dyDescent="0.25">
      <c r="A413" s="5">
        <v>407</v>
      </c>
      <c r="B413" s="5">
        <v>11</v>
      </c>
      <c r="C413" s="10" t="s">
        <v>1043</v>
      </c>
      <c r="D413" s="7" t="s">
        <v>1738</v>
      </c>
      <c r="E413" s="8" t="str">
        <f>T("塔(建築文化解讀叢書)")</f>
        <v>塔(建築文化解讀叢書)</v>
      </c>
      <c r="F413" s="7" t="s">
        <v>2942</v>
      </c>
      <c r="G413" s="7" t="str">
        <f>T("中國人大")</f>
        <v>中國人大</v>
      </c>
      <c r="H413" s="7" t="str">
        <f>T("20070601")</f>
        <v>20070601</v>
      </c>
      <c r="I413" s="7">
        <v>68</v>
      </c>
      <c r="J413" s="7">
        <v>408</v>
      </c>
      <c r="K413" s="9" t="s">
        <v>264</v>
      </c>
    </row>
    <row r="414" spans="1:11" x14ac:dyDescent="0.25">
      <c r="A414" s="5">
        <v>408</v>
      </c>
      <c r="B414" s="5">
        <v>12</v>
      </c>
      <c r="C414" s="10" t="s">
        <v>1044</v>
      </c>
      <c r="D414" s="7" t="s">
        <v>1739</v>
      </c>
      <c r="E414" s="8" t="str">
        <f>T("橋(建築文化解讀叢書)")</f>
        <v>橋(建築文化解讀叢書)</v>
      </c>
      <c r="F414" s="7" t="s">
        <v>2942</v>
      </c>
      <c r="G414" s="7" t="str">
        <f>T("中國人大")</f>
        <v>中國人大</v>
      </c>
      <c r="H414" s="7" t="str">
        <f>T("20070601")</f>
        <v>20070601</v>
      </c>
      <c r="I414" s="7">
        <v>59.8</v>
      </c>
      <c r="J414" s="7">
        <v>359</v>
      </c>
      <c r="K414" s="9" t="s">
        <v>264</v>
      </c>
    </row>
    <row r="415" spans="1:11" x14ac:dyDescent="0.25">
      <c r="A415" s="5">
        <v>409</v>
      </c>
      <c r="B415" s="5">
        <v>13</v>
      </c>
      <c r="C415" s="10" t="s">
        <v>1045</v>
      </c>
      <c r="D415" s="7" t="s">
        <v>1740</v>
      </c>
      <c r="E415" s="8" t="str">
        <f>T("圖說中國皇家園林")</f>
        <v>圖說中國皇家園林</v>
      </c>
      <c r="F415" s="7" t="s">
        <v>2943</v>
      </c>
      <c r="G415" s="7" t="str">
        <f>T("人民大學")</f>
        <v>人民大學</v>
      </c>
      <c r="H415" s="7" t="str">
        <f>T("20080801")</f>
        <v>20080801</v>
      </c>
      <c r="I415" s="7">
        <v>39.799999999999997</v>
      </c>
      <c r="J415" s="7">
        <v>239</v>
      </c>
      <c r="K415" s="9" t="s">
        <v>264</v>
      </c>
    </row>
    <row r="416" spans="1:11" x14ac:dyDescent="0.25">
      <c r="A416" s="5">
        <v>410</v>
      </c>
      <c r="B416" s="5">
        <v>14</v>
      </c>
      <c r="C416" s="10" t="s">
        <v>1046</v>
      </c>
      <c r="D416" s="7" t="s">
        <v>1741</v>
      </c>
      <c r="E416" s="8" t="str">
        <f>T("建築大師訪談")</f>
        <v>建築大師訪談</v>
      </c>
      <c r="F416" s="7" t="s">
        <v>2944</v>
      </c>
      <c r="G416" s="7" t="str">
        <f>T("中國人大")</f>
        <v>中國人大</v>
      </c>
      <c r="H416" s="7" t="str">
        <f>T("20070701")</f>
        <v>20070701</v>
      </c>
      <c r="I416" s="7">
        <v>58</v>
      </c>
      <c r="J416" s="7">
        <v>348</v>
      </c>
      <c r="K416" s="9" t="s">
        <v>264</v>
      </c>
    </row>
    <row r="417" spans="1:11" x14ac:dyDescent="0.25">
      <c r="A417" s="5">
        <v>411</v>
      </c>
      <c r="B417" s="5">
        <v>15</v>
      </c>
      <c r="C417" s="10" t="s">
        <v>1048</v>
      </c>
      <c r="D417" s="7" t="s">
        <v>1742</v>
      </c>
      <c r="E417" s="8" t="s">
        <v>1332</v>
      </c>
      <c r="F417" s="7" t="s">
        <v>2945</v>
      </c>
      <c r="G417" s="7" t="str">
        <f>T("中國人大")</f>
        <v>中國人大</v>
      </c>
      <c r="H417" s="7" t="str">
        <f>T("20090501")</f>
        <v>20090501</v>
      </c>
      <c r="I417" s="7">
        <v>27</v>
      </c>
      <c r="J417" s="7">
        <v>162</v>
      </c>
      <c r="K417" s="9" t="s">
        <v>1331</v>
      </c>
    </row>
    <row r="418" spans="1:11" x14ac:dyDescent="0.25">
      <c r="A418" s="5">
        <v>412</v>
      </c>
      <c r="B418" s="5">
        <v>16</v>
      </c>
      <c r="C418" s="10" t="s">
        <v>334</v>
      </c>
      <c r="D418" s="7" t="s">
        <v>1743</v>
      </c>
      <c r="E418" s="8" t="str">
        <f>T("恰如燈下故人:諦聽中國瓷器妙音")</f>
        <v>恰如燈下故人:諦聽中國瓷器妙音</v>
      </c>
      <c r="F418" s="7" t="s">
        <v>2751</v>
      </c>
      <c r="G418" s="7" t="str">
        <f>T("北京大學")</f>
        <v>北京大學</v>
      </c>
      <c r="H418" s="7" t="str">
        <f>T("20080901")</f>
        <v>20080901</v>
      </c>
      <c r="I418" s="7">
        <v>28</v>
      </c>
      <c r="J418" s="7">
        <v>168</v>
      </c>
      <c r="K418" s="9" t="s">
        <v>264</v>
      </c>
    </row>
    <row r="419" spans="1:11" x14ac:dyDescent="0.25">
      <c r="A419" s="5">
        <v>413</v>
      </c>
      <c r="B419" s="5">
        <v>17</v>
      </c>
      <c r="C419" s="10" t="s">
        <v>141</v>
      </c>
      <c r="D419" s="7" t="s">
        <v>1744</v>
      </c>
      <c r="E419" s="8" t="str">
        <f>T("江南文廟")</f>
        <v>江南文廟</v>
      </c>
      <c r="F419" s="7" t="s">
        <v>2946</v>
      </c>
      <c r="G419" s="7" t="str">
        <f>T("上海交大")</f>
        <v>上海交大</v>
      </c>
      <c r="H419" s="7" t="str">
        <f>T("20100601")</f>
        <v>20100601</v>
      </c>
      <c r="I419" s="7">
        <v>88</v>
      </c>
      <c r="J419" s="7">
        <v>528</v>
      </c>
      <c r="K419" s="9" t="s">
        <v>264</v>
      </c>
    </row>
    <row r="420" spans="1:11" x14ac:dyDescent="0.25">
      <c r="A420" s="5">
        <v>414</v>
      </c>
      <c r="B420" s="5">
        <v>18</v>
      </c>
      <c r="C420" s="10" t="s">
        <v>561</v>
      </c>
      <c r="D420" s="7" t="s">
        <v>1745</v>
      </c>
      <c r="E420" s="8" t="str">
        <f>T("北京新建築：全球頂尖建築實驗競技場")</f>
        <v>北京新建築：全球頂尖建築實驗競技場</v>
      </c>
      <c r="F420" s="7" t="s">
        <v>2947</v>
      </c>
      <c r="G420" s="7" t="str">
        <f>T("中國青年")</f>
        <v>中國青年</v>
      </c>
      <c r="H420" s="7" t="str">
        <f>T("20090101")</f>
        <v>20090101</v>
      </c>
      <c r="I420" s="7">
        <v>38.799999999999997</v>
      </c>
      <c r="J420" s="7">
        <v>233</v>
      </c>
      <c r="K420" s="9" t="s">
        <v>264</v>
      </c>
    </row>
    <row r="421" spans="1:11" x14ac:dyDescent="0.25">
      <c r="A421" s="5">
        <v>415</v>
      </c>
      <c r="B421" s="5">
        <v>19</v>
      </c>
      <c r="C421" s="10" t="s">
        <v>7</v>
      </c>
      <c r="D421" s="7" t="s">
        <v>1746</v>
      </c>
      <c r="E421" s="8" t="str">
        <f>T("文物保護研究新論")</f>
        <v>文物保護研究新論</v>
      </c>
      <c r="F421" s="7" t="s">
        <v>2948</v>
      </c>
      <c r="G421" s="7" t="str">
        <f>T("文物")</f>
        <v>文物</v>
      </c>
      <c r="H421" s="7" t="str">
        <f>T("20081201")</f>
        <v>20081201</v>
      </c>
      <c r="I421" s="7">
        <v>150</v>
      </c>
      <c r="J421" s="7">
        <v>900</v>
      </c>
      <c r="K421" s="9" t="s">
        <v>264</v>
      </c>
    </row>
    <row r="422" spans="1:11" x14ac:dyDescent="0.25">
      <c r="A422" s="5">
        <v>416</v>
      </c>
      <c r="B422" s="5">
        <v>20</v>
      </c>
      <c r="C422" s="10" t="s">
        <v>349</v>
      </c>
      <c r="D422" s="7" t="s">
        <v>1747</v>
      </c>
      <c r="E422" s="8" t="str">
        <f>T("流年NO.1：古城，不能忘卻的紀念")</f>
        <v>流年NO.1：古城，不能忘卻的紀念</v>
      </c>
      <c r="F422" s="7" t="s">
        <v>2949</v>
      </c>
      <c r="G422" s="7" t="str">
        <f>T("")</f>
        <v/>
      </c>
      <c r="H422" s="7" t="str">
        <f>T("")</f>
        <v/>
      </c>
      <c r="I422" s="7"/>
      <c r="J422" s="7">
        <v>125</v>
      </c>
      <c r="K422" s="9" t="s">
        <v>264</v>
      </c>
    </row>
    <row r="423" spans="1:11" x14ac:dyDescent="0.25">
      <c r="A423" s="5">
        <v>417</v>
      </c>
      <c r="B423" s="5">
        <v>21</v>
      </c>
      <c r="C423" s="10" t="s">
        <v>579</v>
      </c>
      <c r="D423" s="7" t="s">
        <v>1748</v>
      </c>
      <c r="E423" s="8" t="str">
        <f>T("城市圖書館新館建設")</f>
        <v>城市圖書館新館建設</v>
      </c>
      <c r="F423" s="7" t="s">
        <v>2950</v>
      </c>
      <c r="G423" s="7" t="str">
        <f>T("北京圖書館")</f>
        <v>北京圖書館</v>
      </c>
      <c r="H423" s="7" t="str">
        <f>T("20061201")</f>
        <v>20061201</v>
      </c>
      <c r="I423" s="7">
        <v>60</v>
      </c>
      <c r="J423" s="7">
        <v>360</v>
      </c>
      <c r="K423" s="9" t="s">
        <v>264</v>
      </c>
    </row>
    <row r="424" spans="1:11" x14ac:dyDescent="0.25">
      <c r="A424" s="5">
        <v>418</v>
      </c>
      <c r="B424" s="5">
        <v>22</v>
      </c>
      <c r="C424" s="10" t="s">
        <v>863</v>
      </c>
      <c r="D424" s="7" t="s">
        <v>1749</v>
      </c>
      <c r="E424" s="8" t="str">
        <f>T("北京古橋")</f>
        <v>北京古橋</v>
      </c>
      <c r="F424" s="7" t="s">
        <v>2951</v>
      </c>
      <c r="G424" s="7" t="str">
        <f>T("北京圖書館")</f>
        <v>北京圖書館</v>
      </c>
      <c r="H424" s="7" t="str">
        <f>T("20070101")</f>
        <v>20070101</v>
      </c>
      <c r="I424" s="7">
        <v>39.799999999999997</v>
      </c>
      <c r="J424" s="7">
        <v>239</v>
      </c>
      <c r="K424" s="9" t="s">
        <v>264</v>
      </c>
    </row>
    <row r="425" spans="1:11" x14ac:dyDescent="0.25">
      <c r="A425" s="5">
        <v>419</v>
      </c>
      <c r="B425" s="5">
        <v>23</v>
      </c>
      <c r="C425" s="10" t="s">
        <v>865</v>
      </c>
      <c r="D425" s="7" t="s">
        <v>1750</v>
      </c>
      <c r="E425" s="8" t="str">
        <f>T("洛陽東漢黃腸石題銘研究")</f>
        <v>洛陽東漢黃腸石題銘研究</v>
      </c>
      <c r="F425" s="7" t="s">
        <v>2952</v>
      </c>
      <c r="G425" s="7" t="str">
        <f>T("北京圖書館")</f>
        <v>北京圖書館</v>
      </c>
      <c r="H425" s="7" t="str">
        <f>T("20080701")</f>
        <v>20080701</v>
      </c>
      <c r="I425" s="7">
        <v>48</v>
      </c>
      <c r="J425" s="7">
        <v>288</v>
      </c>
      <c r="K425" s="9" t="s">
        <v>264</v>
      </c>
    </row>
    <row r="426" spans="1:11" x14ac:dyDescent="0.25">
      <c r="A426" s="5">
        <v>420</v>
      </c>
      <c r="B426" s="5">
        <v>24</v>
      </c>
      <c r="C426" s="10" t="s">
        <v>753</v>
      </c>
      <c r="D426" s="7" t="s">
        <v>1751</v>
      </c>
      <c r="E426" s="8" t="str">
        <f>T("北京古牆")</f>
        <v>北京古牆</v>
      </c>
      <c r="F426" s="7" t="s">
        <v>2953</v>
      </c>
      <c r="G426" s="7" t="str">
        <f>T("北京圖書館")</f>
        <v>北京圖書館</v>
      </c>
      <c r="H426" s="7" t="str">
        <f>T("20090501")</f>
        <v>20090501</v>
      </c>
      <c r="I426" s="7">
        <v>42</v>
      </c>
      <c r="J426" s="7">
        <v>252</v>
      </c>
      <c r="K426" s="9" t="s">
        <v>264</v>
      </c>
    </row>
    <row r="427" spans="1:11" x14ac:dyDescent="0.25">
      <c r="A427" s="5">
        <v>421</v>
      </c>
      <c r="B427" s="5">
        <v>25</v>
      </c>
      <c r="C427" s="10" t="s">
        <v>13</v>
      </c>
      <c r="D427" s="7" t="s">
        <v>1752</v>
      </c>
      <c r="E427" s="8" t="str">
        <f>T("環城園亭夢蘇州")</f>
        <v>環城園亭夢蘇州</v>
      </c>
      <c r="F427" s="7" t="s">
        <v>2954</v>
      </c>
      <c r="G427" s="7" t="str">
        <f>T("中國林業")</f>
        <v>中國林業</v>
      </c>
      <c r="H427" s="7" t="str">
        <f>T("20070401")</f>
        <v>20070401</v>
      </c>
      <c r="I427" s="7">
        <v>68</v>
      </c>
      <c r="J427" s="7">
        <v>408</v>
      </c>
      <c r="K427" s="9" t="s">
        <v>264</v>
      </c>
    </row>
    <row r="428" spans="1:11" x14ac:dyDescent="0.25">
      <c r="A428" s="5">
        <v>422</v>
      </c>
      <c r="B428" s="5">
        <v>26</v>
      </c>
      <c r="C428" s="10" t="s">
        <v>728</v>
      </c>
      <c r="D428" s="7" t="s">
        <v>1753</v>
      </c>
      <c r="E428" s="8" t="str">
        <f>T("與古為新 ——方塔園的規劃與設計")</f>
        <v>與古為新 ——方塔園的規劃與設計</v>
      </c>
      <c r="F428" s="7" t="s">
        <v>2955</v>
      </c>
      <c r="G428" s="7" t="str">
        <f>T("東方")</f>
        <v>東方</v>
      </c>
      <c r="H428" s="7" t="str">
        <f>T("20100301")</f>
        <v>20100301</v>
      </c>
      <c r="I428" s="7">
        <v>30</v>
      </c>
      <c r="J428" s="7">
        <v>180</v>
      </c>
      <c r="K428" s="9" t="s">
        <v>264</v>
      </c>
    </row>
    <row r="429" spans="1:11" x14ac:dyDescent="0.25">
      <c r="A429" s="5">
        <v>423</v>
      </c>
      <c r="B429" s="5">
        <v>27</v>
      </c>
      <c r="C429" s="10" t="s">
        <v>416</v>
      </c>
      <c r="D429" s="7" t="s">
        <v>1754</v>
      </c>
      <c r="E429" s="8" t="str">
        <f>T("天壇")</f>
        <v>天壇</v>
      </c>
      <c r="F429" s="7" t="s">
        <v>2956</v>
      </c>
      <c r="G429" s="7" t="str">
        <f>T("北京圖書館")</f>
        <v>北京圖書館</v>
      </c>
      <c r="H429" s="7" t="str">
        <f>T("20080701")</f>
        <v>20080701</v>
      </c>
      <c r="I429" s="7">
        <v>28</v>
      </c>
      <c r="J429" s="7">
        <v>168</v>
      </c>
      <c r="K429" s="9" t="s">
        <v>264</v>
      </c>
    </row>
    <row r="430" spans="1:11" x14ac:dyDescent="0.25">
      <c r="A430" s="5">
        <v>424</v>
      </c>
      <c r="B430" s="5">
        <v>28</v>
      </c>
      <c r="C430" s="10" t="s">
        <v>99</v>
      </c>
      <c r="D430" s="7" t="s">
        <v>1755</v>
      </c>
      <c r="E430" s="8" t="str">
        <f>T("海澱老街巷胡同尋蹤")</f>
        <v>海澱老街巷胡同尋蹤</v>
      </c>
      <c r="F430" s="7" t="s">
        <v>2957</v>
      </c>
      <c r="G430" s="7" t="str">
        <f>T("學苑")</f>
        <v>學苑</v>
      </c>
      <c r="H430" s="7" t="str">
        <f>T("20100101")</f>
        <v>20100101</v>
      </c>
      <c r="I430" s="7">
        <v>48</v>
      </c>
      <c r="J430" s="7">
        <v>288</v>
      </c>
      <c r="K430" s="9" t="s">
        <v>264</v>
      </c>
    </row>
    <row r="431" spans="1:11" x14ac:dyDescent="0.25">
      <c r="A431" s="5">
        <v>425</v>
      </c>
      <c r="B431" s="5">
        <v>29</v>
      </c>
      <c r="C431" s="10" t="s">
        <v>367</v>
      </c>
      <c r="D431" s="7" t="s">
        <v>1756</v>
      </c>
      <c r="E431" s="8" t="str">
        <f>T("中國文化與中國設計十講")</f>
        <v>中國文化與中國設計十講</v>
      </c>
      <c r="F431" s="7" t="s">
        <v>2958</v>
      </c>
      <c r="G431" s="7" t="str">
        <f>T("中國電力")</f>
        <v>中國電力</v>
      </c>
      <c r="H431" s="7" t="str">
        <f>T("20080301")</f>
        <v>20080301</v>
      </c>
      <c r="I431" s="7">
        <v>32</v>
      </c>
      <c r="J431" s="7">
        <v>192</v>
      </c>
      <c r="K431" s="9" t="s">
        <v>264</v>
      </c>
    </row>
    <row r="432" spans="1:11" x14ac:dyDescent="0.25">
      <c r="A432" s="5">
        <v>426</v>
      </c>
      <c r="B432" s="5">
        <v>30</v>
      </c>
      <c r="C432" s="10" t="s">
        <v>267</v>
      </c>
      <c r="D432" s="7" t="s">
        <v>1757</v>
      </c>
      <c r="E432" s="8" t="str">
        <f>T("掃描北京之東城-紫金逝影")</f>
        <v>掃描北京之東城-紫金逝影</v>
      </c>
      <c r="F432" s="7" t="s">
        <v>2959</v>
      </c>
      <c r="G432" s="7" t="str">
        <f>T("中國社會")</f>
        <v>中國社會</v>
      </c>
      <c r="H432" s="7" t="str">
        <f>T("20090701")</f>
        <v>20090701</v>
      </c>
      <c r="I432" s="7">
        <v>32</v>
      </c>
      <c r="J432" s="7">
        <v>192</v>
      </c>
      <c r="K432" s="9" t="s">
        <v>264</v>
      </c>
    </row>
    <row r="433" spans="1:11" x14ac:dyDescent="0.25">
      <c r="A433" s="5">
        <v>427</v>
      </c>
      <c r="B433" s="5">
        <v>31</v>
      </c>
      <c r="C433" s="10" t="s">
        <v>156</v>
      </c>
      <c r="D433" s="7" t="s">
        <v>1758</v>
      </c>
      <c r="E433" s="8" t="str">
        <f>T("追尋遠古　釋秘現代-人類學文化學論集")</f>
        <v>追尋遠古　釋秘現代-人類學文化學論集</v>
      </c>
      <c r="F433" s="7" t="s">
        <v>2960</v>
      </c>
      <c r="G433" s="7" t="str">
        <f>T("社科文獻")</f>
        <v>社科文獻</v>
      </c>
      <c r="H433" s="7" t="str">
        <f>T("20100501")</f>
        <v>20100501</v>
      </c>
      <c r="I433" s="7">
        <v>79</v>
      </c>
      <c r="J433" s="7">
        <v>474</v>
      </c>
      <c r="K433" s="9" t="s">
        <v>264</v>
      </c>
    </row>
    <row r="434" spans="1:11" x14ac:dyDescent="0.25">
      <c r="A434" s="5">
        <v>428</v>
      </c>
      <c r="B434" s="5">
        <v>32</v>
      </c>
      <c r="C434" s="10" t="s">
        <v>166</v>
      </c>
      <c r="D434" s="7" t="s">
        <v>1759</v>
      </c>
      <c r="E434" s="8" t="str">
        <f>T("微鹽大義-雲南諾鄧鹽業的歷史人類學考察")</f>
        <v>微鹽大義-雲南諾鄧鹽業的歷史人類學考察</v>
      </c>
      <c r="F434" s="7" t="s">
        <v>1962</v>
      </c>
      <c r="G434" s="7" t="str">
        <f>T("世界圖書")</f>
        <v>世界圖書</v>
      </c>
      <c r="H434" s="7" t="str">
        <f>T("")</f>
        <v/>
      </c>
      <c r="I434" s="7">
        <v>32</v>
      </c>
      <c r="J434" s="7">
        <v>192</v>
      </c>
      <c r="K434" s="9" t="s">
        <v>264</v>
      </c>
    </row>
    <row r="435" spans="1:11" x14ac:dyDescent="0.25">
      <c r="A435" s="5">
        <v>429</v>
      </c>
      <c r="B435" s="5">
        <v>33</v>
      </c>
      <c r="C435" s="10" t="s">
        <v>195</v>
      </c>
      <c r="D435" s="7" t="s">
        <v>1760</v>
      </c>
      <c r="E435" s="8" t="str">
        <f>T("理性與浪漫的交織")</f>
        <v>理性與浪漫的交織</v>
      </c>
      <c r="F435" s="7" t="s">
        <v>2961</v>
      </c>
      <c r="G435" s="7" t="str">
        <f>T("")</f>
        <v/>
      </c>
      <c r="H435" s="7" t="str">
        <f>T("")</f>
        <v/>
      </c>
      <c r="I435" s="7"/>
      <c r="J435" s="7">
        <v>160</v>
      </c>
      <c r="K435" s="9" t="s">
        <v>264</v>
      </c>
    </row>
    <row r="436" spans="1:11" x14ac:dyDescent="0.25">
      <c r="A436" s="5">
        <v>430</v>
      </c>
      <c r="B436" s="5">
        <v>34</v>
      </c>
      <c r="C436" s="10" t="s">
        <v>643</v>
      </c>
      <c r="D436" s="7" t="s">
        <v>1761</v>
      </c>
      <c r="E436" s="8" t="str">
        <f>T("千古之謎曹操高陵")</f>
        <v>千古之謎曹操高陵</v>
      </c>
      <c r="F436" s="7" t="s">
        <v>2962</v>
      </c>
      <c r="G436" s="7" t="str">
        <f>T("大象")</f>
        <v>大象</v>
      </c>
      <c r="H436" s="7" t="str">
        <f>T("20100401")</f>
        <v>20100401</v>
      </c>
      <c r="I436" s="7">
        <v>18</v>
      </c>
      <c r="J436" s="7">
        <v>108</v>
      </c>
      <c r="K436" s="9" t="s">
        <v>264</v>
      </c>
    </row>
    <row r="437" spans="1:11" x14ac:dyDescent="0.25">
      <c r="A437" s="5">
        <v>431</v>
      </c>
      <c r="B437" s="5">
        <v>35</v>
      </c>
      <c r="C437" s="10" t="s">
        <v>930</v>
      </c>
      <c r="D437" s="7" t="s">
        <v>1762</v>
      </c>
      <c r="E437" s="8" t="str">
        <f>T("現代意識與都市發展：社會學-研究")</f>
        <v>現代意識與都市發展：社會學-研究</v>
      </c>
      <c r="F437" s="7" t="s">
        <v>2963</v>
      </c>
      <c r="G437" s="7" t="str">
        <f>T("華東師大")</f>
        <v>華東師大</v>
      </c>
      <c r="H437" s="7" t="str">
        <f>T("20060101")</f>
        <v>20060101</v>
      </c>
      <c r="I437" s="7">
        <v>37</v>
      </c>
      <c r="J437" s="7">
        <v>222</v>
      </c>
      <c r="K437" s="9" t="s">
        <v>264</v>
      </c>
    </row>
    <row r="438" spans="1:11" x14ac:dyDescent="0.25">
      <c r="A438" s="5">
        <v>432</v>
      </c>
      <c r="B438" s="5">
        <v>36</v>
      </c>
      <c r="C438" s="10" t="s">
        <v>932</v>
      </c>
      <c r="D438" s="7" t="s">
        <v>1763</v>
      </c>
      <c r="E438" s="8" t="str">
        <f>T("蜉蝣建築")</f>
        <v>蜉蝣建築</v>
      </c>
      <c r="F438" s="7" t="s">
        <v>1962</v>
      </c>
      <c r="G438" s="7" t="str">
        <f>T("華東師大")</f>
        <v>華東師大</v>
      </c>
      <c r="H438" s="7" t="str">
        <f>T("")</f>
        <v/>
      </c>
      <c r="I438" s="7">
        <v>32</v>
      </c>
      <c r="J438" s="7">
        <v>192</v>
      </c>
      <c r="K438" s="9" t="s">
        <v>1331</v>
      </c>
    </row>
    <row r="439" spans="1:11" x14ac:dyDescent="0.25">
      <c r="A439" s="5">
        <v>433</v>
      </c>
      <c r="B439" s="5">
        <v>37</v>
      </c>
      <c r="C439" s="10" t="s">
        <v>1022</v>
      </c>
      <c r="D439" s="7" t="s">
        <v>1764</v>
      </c>
      <c r="E439" s="8" t="str">
        <f>T("世博與建築")</f>
        <v>世博與建築</v>
      </c>
      <c r="F439" s="7" t="s">
        <v>2964</v>
      </c>
      <c r="G439" s="7" t="str">
        <f>T("東方中心")</f>
        <v>東方中心</v>
      </c>
      <c r="H439" s="7" t="str">
        <f>T("20090401")</f>
        <v>20090401</v>
      </c>
      <c r="I439" s="7">
        <v>38</v>
      </c>
      <c r="J439" s="7">
        <v>228</v>
      </c>
      <c r="K439" s="9" t="s">
        <v>264</v>
      </c>
    </row>
    <row r="440" spans="1:11" x14ac:dyDescent="0.25">
      <c r="A440" s="5">
        <v>434</v>
      </c>
      <c r="B440" s="5">
        <v>38</v>
      </c>
      <c r="C440" s="10" t="s">
        <v>1209</v>
      </c>
      <c r="D440" s="7" t="s">
        <v>1765</v>
      </c>
      <c r="E440" s="8" t="str">
        <f>T("成都市志·哲學社會科學志")</f>
        <v>成都市志·哲學社會科學志</v>
      </c>
      <c r="F440" s="7" t="s">
        <v>2965</v>
      </c>
      <c r="G440" s="7" t="str">
        <f>T("巴蜀書社")</f>
        <v>巴蜀書社</v>
      </c>
      <c r="H440" s="7" t="str">
        <f>T("20060601")</f>
        <v>20060601</v>
      </c>
      <c r="I440" s="7">
        <v>60</v>
      </c>
      <c r="J440" s="7">
        <v>360</v>
      </c>
      <c r="K440" s="9" t="s">
        <v>264</v>
      </c>
    </row>
    <row r="441" spans="1:11" x14ac:dyDescent="0.25">
      <c r="A441" s="5">
        <v>435</v>
      </c>
      <c r="B441" s="5">
        <v>39</v>
      </c>
      <c r="C441" s="10" t="s">
        <v>54</v>
      </c>
      <c r="D441" s="7" t="s">
        <v>1766</v>
      </c>
      <c r="E441" s="8" t="str">
        <f>T("里耶發掘報告")</f>
        <v>里耶發掘報告</v>
      </c>
      <c r="F441" s="7" t="s">
        <v>2966</v>
      </c>
      <c r="G441" s="7" t="str">
        <f>T("嶽麓書社")</f>
        <v>嶽麓書社</v>
      </c>
      <c r="H441" s="7" t="str">
        <f>T("20070101")</f>
        <v>20070101</v>
      </c>
      <c r="I441" s="7">
        <v>600</v>
      </c>
      <c r="J441" s="7">
        <v>3600</v>
      </c>
      <c r="K441" s="9" t="s">
        <v>1331</v>
      </c>
    </row>
    <row r="442" spans="1:11" x14ac:dyDescent="0.25">
      <c r="A442" s="5">
        <v>436</v>
      </c>
      <c r="B442" s="5">
        <v>40</v>
      </c>
      <c r="C442" s="10" t="s">
        <v>1264</v>
      </c>
      <c r="D442" s="7" t="s">
        <v>1767</v>
      </c>
      <c r="E442" s="8" t="str">
        <f>T("圖說濟南老建築.民居卷")</f>
        <v>圖說濟南老建築.民居卷</v>
      </c>
      <c r="F442" s="7" t="s">
        <v>2967</v>
      </c>
      <c r="G442" s="7" t="str">
        <f>T("濟南")</f>
        <v>濟南</v>
      </c>
      <c r="H442" s="7" t="str">
        <f>T("20070101")</f>
        <v>20070101</v>
      </c>
      <c r="I442" s="7">
        <v>30</v>
      </c>
      <c r="J442" s="7">
        <v>180</v>
      </c>
      <c r="K442" s="9" t="s">
        <v>264</v>
      </c>
    </row>
    <row r="443" spans="1:11" x14ac:dyDescent="0.25">
      <c r="A443" s="5">
        <v>437</v>
      </c>
      <c r="B443" s="5">
        <v>41</v>
      </c>
      <c r="C443" s="10" t="s">
        <v>1265</v>
      </c>
      <c r="D443" s="7" t="s">
        <v>1768</v>
      </c>
      <c r="E443" s="8" t="str">
        <f>T("圖說濟南老建築.近代卷")</f>
        <v>圖說濟南老建築.近代卷</v>
      </c>
      <c r="F443" s="7" t="s">
        <v>2967</v>
      </c>
      <c r="G443" s="7" t="str">
        <f>T("濟南")</f>
        <v>濟南</v>
      </c>
      <c r="H443" s="7" t="str">
        <f>T("20070101")</f>
        <v>20070101</v>
      </c>
      <c r="I443" s="7">
        <v>50</v>
      </c>
      <c r="J443" s="7">
        <v>300</v>
      </c>
      <c r="K443" s="9" t="s">
        <v>264</v>
      </c>
    </row>
    <row r="444" spans="1:11" x14ac:dyDescent="0.25">
      <c r="A444" s="5">
        <v>438</v>
      </c>
      <c r="B444" s="5">
        <v>42</v>
      </c>
      <c r="C444" s="10" t="s">
        <v>1294</v>
      </c>
      <c r="D444" s="7" t="s">
        <v>1769</v>
      </c>
      <c r="E444" s="8" t="str">
        <f>T("興衰")</f>
        <v>興衰</v>
      </c>
      <c r="F444" s="7" t="s">
        <v>2968</v>
      </c>
      <c r="G444" s="7" t="str">
        <f>T("上海文化")</f>
        <v>上海文化</v>
      </c>
      <c r="H444" s="7" t="str">
        <f>T("20081001")</f>
        <v>20081001</v>
      </c>
      <c r="I444" s="7">
        <v>25</v>
      </c>
      <c r="J444" s="7">
        <v>150</v>
      </c>
      <c r="K444" s="9" t="s">
        <v>264</v>
      </c>
    </row>
    <row r="445" spans="1:11" x14ac:dyDescent="0.25">
      <c r="A445" s="5">
        <v>439</v>
      </c>
      <c r="B445" s="5">
        <v>43</v>
      </c>
      <c r="C445" s="10" t="s">
        <v>1304</v>
      </c>
      <c r="D445" s="7" t="s">
        <v>1770</v>
      </c>
      <c r="E445" s="8" t="str">
        <f>T("中國古橋(平)(《中華文化叢書》)")</f>
        <v>中國古橋(平)(《中華文化叢書》)</v>
      </c>
      <c r="F445" s="7" t="s">
        <v>2969</v>
      </c>
      <c r="G445" s="7" t="str">
        <f>T("百花洲文藝")</f>
        <v>百花洲文藝</v>
      </c>
      <c r="H445" s="7" t="str">
        <f>T("20090301")</f>
        <v>20090301</v>
      </c>
      <c r="I445" s="7">
        <v>56</v>
      </c>
      <c r="J445" s="7">
        <v>336</v>
      </c>
      <c r="K445" s="9" t="s">
        <v>264</v>
      </c>
    </row>
    <row r="446" spans="1:11" x14ac:dyDescent="0.25">
      <c r="A446" s="5">
        <v>440</v>
      </c>
      <c r="B446" s="5">
        <v>44</v>
      </c>
      <c r="C446" s="10" t="s">
        <v>1123</v>
      </c>
      <c r="D446" s="7" t="s">
        <v>1771</v>
      </c>
      <c r="E446" s="8" t="str">
        <f>T("凝固的藝術：建築藝術")</f>
        <v>凝固的藝術：建築藝術</v>
      </c>
      <c r="F446" s="7" t="s">
        <v>2970</v>
      </c>
      <c r="G446" s="7" t="str">
        <f>T("百花洲文藝")</f>
        <v>百花洲文藝</v>
      </c>
      <c r="H446" s="7" t="str">
        <f>T("20090801")</f>
        <v>20090801</v>
      </c>
      <c r="I446" s="7">
        <v>19.8</v>
      </c>
      <c r="J446" s="7">
        <v>119</v>
      </c>
      <c r="K446" s="9" t="s">
        <v>264</v>
      </c>
    </row>
    <row r="447" spans="1:11" x14ac:dyDescent="0.25">
      <c r="A447" s="5">
        <v>441</v>
      </c>
      <c r="B447" s="5">
        <v>45</v>
      </c>
      <c r="C447" s="10" t="s">
        <v>1133</v>
      </c>
      <c r="D447" s="7" t="s">
        <v>1772</v>
      </c>
      <c r="E447" s="8" t="str">
        <f>T("閱讀奧林匹克.建築卷（彩圖版）")</f>
        <v>閱讀奧林匹克.建築卷（彩圖版）</v>
      </c>
      <c r="F447" s="7" t="s">
        <v>2971</v>
      </c>
      <c r="G447" s="7" t="str">
        <f>T("江西美術")</f>
        <v>江西美術</v>
      </c>
      <c r="H447" s="7" t="str">
        <f>T("20071101")</f>
        <v>20071101</v>
      </c>
      <c r="I447" s="7">
        <v>26</v>
      </c>
      <c r="J447" s="7">
        <v>156</v>
      </c>
      <c r="K447" s="9" t="s">
        <v>264</v>
      </c>
    </row>
    <row r="448" spans="1:11" x14ac:dyDescent="0.25">
      <c r="A448" s="5">
        <v>442</v>
      </c>
      <c r="B448" s="5">
        <v>46</v>
      </c>
      <c r="C448" s="10" t="s">
        <v>1149</v>
      </c>
      <c r="D448" s="7" t="s">
        <v>1773</v>
      </c>
      <c r="E448" s="8" t="str">
        <f>T("城傳-世界名城的歷史側影")</f>
        <v>城傳-世界名城的歷史側影</v>
      </c>
      <c r="F448" s="7" t="s">
        <v>2972</v>
      </c>
      <c r="G448" s="7" t="str">
        <f t="shared" ref="G448:G453" si="22">T("哈爾濱")</f>
        <v>哈爾濱</v>
      </c>
      <c r="H448" s="7" t="str">
        <f>T("20060701")</f>
        <v>20060701</v>
      </c>
      <c r="I448" s="7">
        <v>28</v>
      </c>
      <c r="J448" s="7">
        <v>168</v>
      </c>
      <c r="K448" s="9" t="s">
        <v>264</v>
      </c>
    </row>
    <row r="449" spans="1:11" x14ac:dyDescent="0.25">
      <c r="A449" s="5">
        <v>443</v>
      </c>
      <c r="B449" s="5">
        <v>47</v>
      </c>
      <c r="C449" s="10" t="s">
        <v>1150</v>
      </c>
      <c r="D449" s="7" t="s">
        <v>1774</v>
      </c>
      <c r="E449" s="8" t="str">
        <f>T("城記-世界名城的傳奇記憶")</f>
        <v>城記-世界名城的傳奇記憶</v>
      </c>
      <c r="F449" s="7" t="s">
        <v>2973</v>
      </c>
      <c r="G449" s="7" t="str">
        <f t="shared" si="22"/>
        <v>哈爾濱</v>
      </c>
      <c r="H449" s="7" t="str">
        <f>T("20060701")</f>
        <v>20060701</v>
      </c>
      <c r="I449" s="7">
        <v>28</v>
      </c>
      <c r="J449" s="7">
        <v>168</v>
      </c>
      <c r="K449" s="9" t="s">
        <v>264</v>
      </c>
    </row>
    <row r="450" spans="1:11" x14ac:dyDescent="0.25">
      <c r="A450" s="5">
        <v>444</v>
      </c>
      <c r="B450" s="5">
        <v>48</v>
      </c>
      <c r="C450" s="10" t="s">
        <v>1152</v>
      </c>
      <c r="D450" s="7" t="s">
        <v>1775</v>
      </c>
      <c r="E450" s="8" t="str">
        <f>T("城記-中國名城的傳奇記憶")</f>
        <v>城記-中國名城的傳奇記憶</v>
      </c>
      <c r="F450" s="7" t="s">
        <v>2974</v>
      </c>
      <c r="G450" s="7" t="str">
        <f t="shared" si="22"/>
        <v>哈爾濱</v>
      </c>
      <c r="H450" s="7" t="str">
        <f>T("20100401")</f>
        <v>20100401</v>
      </c>
      <c r="I450" s="7">
        <v>28</v>
      </c>
      <c r="J450" s="7">
        <v>168</v>
      </c>
      <c r="K450" s="9" t="s">
        <v>264</v>
      </c>
    </row>
    <row r="451" spans="1:11" x14ac:dyDescent="0.25">
      <c r="A451" s="5">
        <v>445</v>
      </c>
      <c r="B451" s="5">
        <v>49</v>
      </c>
      <c r="C451" s="10" t="s">
        <v>1151</v>
      </c>
      <c r="D451" s="7" t="s">
        <v>1776</v>
      </c>
      <c r="E451" s="8" t="str">
        <f>T("城緣-世界名城的永恆情懷")</f>
        <v>城緣-世界名城的永恆情懷</v>
      </c>
      <c r="F451" s="7" t="s">
        <v>2975</v>
      </c>
      <c r="G451" s="7" t="str">
        <f t="shared" si="22"/>
        <v>哈爾濱</v>
      </c>
      <c r="H451" s="7" t="str">
        <f>T("20100101")</f>
        <v>20100101</v>
      </c>
      <c r="I451" s="7">
        <v>28</v>
      </c>
      <c r="J451" s="7">
        <v>168</v>
      </c>
      <c r="K451" s="9" t="s">
        <v>264</v>
      </c>
    </row>
    <row r="452" spans="1:11" x14ac:dyDescent="0.25">
      <c r="A452" s="5">
        <v>446</v>
      </c>
      <c r="B452" s="5">
        <v>50</v>
      </c>
      <c r="C452" s="10" t="s">
        <v>103</v>
      </c>
      <c r="D452" s="7" t="s">
        <v>1777</v>
      </c>
      <c r="E452" s="8" t="str">
        <f>T("城畫-世界名城的經典面孔")</f>
        <v>城畫-世界名城的經典面孔</v>
      </c>
      <c r="F452" s="7" t="s">
        <v>2976</v>
      </c>
      <c r="G452" s="7" t="str">
        <f t="shared" si="22"/>
        <v>哈爾濱</v>
      </c>
      <c r="H452" s="7" t="str">
        <f>T("20100101")</f>
        <v>20100101</v>
      </c>
      <c r="I452" s="7">
        <v>28</v>
      </c>
      <c r="J452" s="7">
        <v>168</v>
      </c>
      <c r="K452" s="9" t="s">
        <v>264</v>
      </c>
    </row>
    <row r="453" spans="1:11" x14ac:dyDescent="0.25">
      <c r="A453" s="5">
        <v>447</v>
      </c>
      <c r="B453" s="5">
        <v>51</v>
      </c>
      <c r="C453" s="10" t="s">
        <v>1153</v>
      </c>
      <c r="D453" s="7" t="s">
        <v>1778</v>
      </c>
      <c r="E453" s="8" t="str">
        <f>T("城畫-中國名城的經典面孔")</f>
        <v>城畫-中國名城的經典面孔</v>
      </c>
      <c r="F453" s="7" t="s">
        <v>2977</v>
      </c>
      <c r="G453" s="7" t="str">
        <f t="shared" si="22"/>
        <v>哈爾濱</v>
      </c>
      <c r="H453" s="7" t="str">
        <f>T("20100101")</f>
        <v>20100101</v>
      </c>
      <c r="I453" s="7">
        <v>28</v>
      </c>
      <c r="J453" s="7">
        <v>168</v>
      </c>
      <c r="K453" s="9" t="s">
        <v>264</v>
      </c>
    </row>
    <row r="454" spans="1:11" x14ac:dyDescent="0.25">
      <c r="A454" s="5">
        <v>448</v>
      </c>
      <c r="B454" s="5">
        <v>52</v>
      </c>
      <c r="C454" s="10" t="s">
        <v>1176</v>
      </c>
      <c r="D454" s="7" t="s">
        <v>1779</v>
      </c>
      <c r="E454" s="8" t="str">
        <f>T("洛水瀍河映王城(會館文化叢書之一)")</f>
        <v>洛水瀍河映王城(會館文化叢書之一)</v>
      </c>
      <c r="F454" s="7" t="s">
        <v>2978</v>
      </c>
      <c r="G454" s="7" t="str">
        <f>T("鄭州大學")</f>
        <v>鄭州大學</v>
      </c>
      <c r="H454" s="7" t="str">
        <f>T("20070101")</f>
        <v>20070101</v>
      </c>
      <c r="I454" s="7">
        <v>32</v>
      </c>
      <c r="J454" s="7">
        <v>192</v>
      </c>
      <c r="K454" s="9" t="s">
        <v>1331</v>
      </c>
    </row>
    <row r="455" spans="1:11" x14ac:dyDescent="0.25">
      <c r="A455" s="19" t="s">
        <v>1333</v>
      </c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5">
        <v>449</v>
      </c>
      <c r="B456" s="5">
        <v>1</v>
      </c>
      <c r="C456" s="10" t="s">
        <v>383</v>
      </c>
      <c r="D456" s="7" t="s">
        <v>1780</v>
      </c>
      <c r="E456" s="8" t="str">
        <f>T("唐山皮影")</f>
        <v>唐山皮影</v>
      </c>
      <c r="F456" s="7" t="s">
        <v>2979</v>
      </c>
      <c r="G456" s="7" t="str">
        <f>T("科學")</f>
        <v>科學</v>
      </c>
      <c r="H456" s="7" t="str">
        <f>T("20090101")</f>
        <v>20090101</v>
      </c>
      <c r="I456" s="7">
        <v>80</v>
      </c>
      <c r="J456" s="7">
        <v>480</v>
      </c>
      <c r="K456" s="9" t="s">
        <v>1334</v>
      </c>
    </row>
    <row r="457" spans="1:11" x14ac:dyDescent="0.25">
      <c r="A457" s="5">
        <v>450</v>
      </c>
      <c r="B457" s="5">
        <v>2</v>
      </c>
      <c r="C457" s="10" t="s">
        <v>382</v>
      </c>
      <c r="D457" s="7" t="s">
        <v>1781</v>
      </c>
      <c r="E457" s="8" t="str">
        <f>T("新素園石譜")</f>
        <v>新素園石譜</v>
      </c>
      <c r="F457" s="7" t="s">
        <v>2980</v>
      </c>
      <c r="G457" s="7" t="str">
        <f>T("生活.讀書")</f>
        <v>生活.讀書</v>
      </c>
      <c r="H457" s="7" t="str">
        <f>T("20080501")</f>
        <v>20080501</v>
      </c>
      <c r="I457" s="7">
        <v>48</v>
      </c>
      <c r="J457" s="7">
        <v>288</v>
      </c>
      <c r="K457" s="9" t="s">
        <v>1334</v>
      </c>
    </row>
    <row r="458" spans="1:11" x14ac:dyDescent="0.25">
      <c r="A458" s="5">
        <v>451</v>
      </c>
      <c r="B458" s="5">
        <v>3</v>
      </c>
      <c r="C458" s="10" t="s">
        <v>384</v>
      </c>
      <c r="D458" s="7" t="s">
        <v>1782</v>
      </c>
      <c r="E458" s="8" t="str">
        <f>T("古代藝術與儀式")</f>
        <v>古代藝術與儀式</v>
      </c>
      <c r="F458" s="7" t="s">
        <v>2981</v>
      </c>
      <c r="G458" s="7" t="str">
        <f>T("北京三聯")</f>
        <v>北京三聯</v>
      </c>
      <c r="H458" s="7" t="str">
        <f>T("20080901")</f>
        <v>20080901</v>
      </c>
      <c r="I458" s="7">
        <v>19</v>
      </c>
      <c r="J458" s="7">
        <v>114</v>
      </c>
      <c r="K458" s="9" t="s">
        <v>1334</v>
      </c>
    </row>
    <row r="459" spans="1:11" x14ac:dyDescent="0.25">
      <c r="A459" s="5">
        <v>452</v>
      </c>
      <c r="B459" s="5">
        <v>4</v>
      </c>
      <c r="C459" s="10" t="s">
        <v>489</v>
      </c>
      <c r="D459" s="7" t="s">
        <v>1783</v>
      </c>
      <c r="E459" s="8" t="str">
        <f>T("郵林情愫")</f>
        <v>郵林情愫</v>
      </c>
      <c r="F459" s="7" t="s">
        <v>2982</v>
      </c>
      <c r="G459" s="7" t="str">
        <f>T("人民電郵")</f>
        <v>人民電郵</v>
      </c>
      <c r="H459" s="7" t="str">
        <f>T("20070601")</f>
        <v>20070601</v>
      </c>
      <c r="I459" s="7">
        <v>48</v>
      </c>
      <c r="J459" s="7">
        <v>288</v>
      </c>
      <c r="K459" s="9" t="s">
        <v>1334</v>
      </c>
    </row>
    <row r="460" spans="1:11" x14ac:dyDescent="0.25">
      <c r="A460" s="5">
        <v>453</v>
      </c>
      <c r="B460" s="5">
        <v>5</v>
      </c>
      <c r="C460" s="10" t="s">
        <v>494</v>
      </c>
      <c r="D460" s="7" t="s">
        <v>1784</v>
      </c>
      <c r="E460" s="8" t="str">
        <f>T("中國陶瓷")</f>
        <v>中國陶瓷</v>
      </c>
      <c r="F460" s="7" t="s">
        <v>2983</v>
      </c>
      <c r="G460" s="7" t="str">
        <f>T("外文")</f>
        <v>外文</v>
      </c>
      <c r="H460" s="7" t="str">
        <f>T("")</f>
        <v/>
      </c>
      <c r="I460" s="7">
        <v>58</v>
      </c>
      <c r="J460" s="7">
        <v>348</v>
      </c>
      <c r="K460" s="9" t="s">
        <v>1334</v>
      </c>
    </row>
    <row r="461" spans="1:11" x14ac:dyDescent="0.25">
      <c r="A461" s="5">
        <v>454</v>
      </c>
      <c r="B461" s="5">
        <v>6</v>
      </c>
      <c r="C461" s="10" t="s">
        <v>843</v>
      </c>
      <c r="D461" s="7" t="s">
        <v>1785</v>
      </c>
      <c r="E461" s="8" t="str">
        <f>T("眼力：唐代金壺杯收藏傳奇(CXWY)")</f>
        <v>眼力：唐代金壺杯收藏傳奇(CXWY)</v>
      </c>
      <c r="F461" s="7" t="s">
        <v>2984</v>
      </c>
      <c r="G461" s="7" t="str">
        <f>T("天津人民")</f>
        <v>天津人民</v>
      </c>
      <c r="H461" s="7" t="str">
        <f>T("20080401")</f>
        <v>20080401</v>
      </c>
      <c r="I461" s="7">
        <v>35</v>
      </c>
      <c r="J461" s="7">
        <v>210</v>
      </c>
      <c r="K461" s="9" t="s">
        <v>1334</v>
      </c>
    </row>
    <row r="462" spans="1:11" x14ac:dyDescent="0.25">
      <c r="A462" s="5">
        <v>455</v>
      </c>
      <c r="B462" s="5">
        <v>7</v>
      </c>
      <c r="C462" s="10" t="s">
        <v>567</v>
      </c>
      <c r="D462" s="7" t="s">
        <v>1786</v>
      </c>
      <c r="E462" s="8" t="str">
        <f>T("中國藝術民俗學")</f>
        <v>中國藝術民俗學</v>
      </c>
      <c r="F462" s="7" t="s">
        <v>2985</v>
      </c>
      <c r="G462" s="7" t="str">
        <f>T("山東人民")</f>
        <v>山東人民</v>
      </c>
      <c r="H462" s="7" t="str">
        <f>T("20080401")</f>
        <v>20080401</v>
      </c>
      <c r="I462" s="7">
        <v>32</v>
      </c>
      <c r="J462" s="7">
        <v>192</v>
      </c>
      <c r="K462" s="9" t="s">
        <v>1334</v>
      </c>
    </row>
    <row r="463" spans="1:11" x14ac:dyDescent="0.25">
      <c r="A463" s="5">
        <v>456</v>
      </c>
      <c r="B463" s="5">
        <v>8</v>
      </c>
      <c r="C463" s="10" t="s">
        <v>346</v>
      </c>
      <c r="D463" s="7" t="s">
        <v>1787</v>
      </c>
      <c r="E463" s="8" t="str">
        <f>T("我畫我心——意象對話解讀人心")</f>
        <v>我畫我心——意象對話解讀人心</v>
      </c>
      <c r="F463" s="7" t="s">
        <v>2986</v>
      </c>
      <c r="G463" s="7" t="str">
        <f>T("安徽人民")</f>
        <v>安徽人民</v>
      </c>
      <c r="H463" s="7" t="str">
        <f>T("20080701")</f>
        <v>20080701</v>
      </c>
      <c r="I463" s="7">
        <v>18</v>
      </c>
      <c r="J463" s="7">
        <v>108</v>
      </c>
      <c r="K463" s="9" t="s">
        <v>1334</v>
      </c>
    </row>
    <row r="464" spans="1:11" x14ac:dyDescent="0.25">
      <c r="A464" s="5">
        <v>457</v>
      </c>
      <c r="B464" s="5">
        <v>9</v>
      </c>
      <c r="C464" s="10" t="s">
        <v>768</v>
      </c>
      <c r="D464" s="7" t="s">
        <v>1788</v>
      </c>
      <c r="E464" s="8" t="str">
        <f>T("中外藝術關鍵詞(上下)")</f>
        <v>中外藝術關鍵詞(上下)</v>
      </c>
      <c r="F464" s="7" t="s">
        <v>2987</v>
      </c>
      <c r="G464" s="7" t="str">
        <f>T("江蘇人民")</f>
        <v>江蘇人民</v>
      </c>
      <c r="H464" s="7" t="str">
        <f>T("20090201")</f>
        <v>20090201</v>
      </c>
      <c r="I464" s="7">
        <v>60</v>
      </c>
      <c r="J464" s="7">
        <v>360</v>
      </c>
      <c r="K464" s="9" t="s">
        <v>1334</v>
      </c>
    </row>
    <row r="465" spans="1:11" x14ac:dyDescent="0.25">
      <c r="A465" s="5">
        <v>458</v>
      </c>
      <c r="B465" s="5">
        <v>10</v>
      </c>
      <c r="C465" s="10" t="s">
        <v>771</v>
      </c>
      <c r="D465" s="7" t="s">
        <v>1789</v>
      </c>
      <c r="E465" s="8" t="str">
        <f>T("圖說中國雕塑藝術")</f>
        <v>圖說中國雕塑藝術</v>
      </c>
      <c r="F465" s="7" t="s">
        <v>2988</v>
      </c>
      <c r="G465" s="7" t="str">
        <f>T("江蘇人民")</f>
        <v>江蘇人民</v>
      </c>
      <c r="H465" s="7" t="str">
        <f>T("20090701")</f>
        <v>20090701</v>
      </c>
      <c r="I465" s="7">
        <v>80</v>
      </c>
      <c r="J465" s="7">
        <v>480</v>
      </c>
      <c r="K465" s="9" t="s">
        <v>1334</v>
      </c>
    </row>
    <row r="466" spans="1:11" x14ac:dyDescent="0.25">
      <c r="A466" s="5">
        <v>459</v>
      </c>
      <c r="B466" s="5">
        <v>11</v>
      </c>
      <c r="C466" s="10" t="s">
        <v>875</v>
      </c>
      <c r="D466" s="7" t="s">
        <v>1790</v>
      </c>
      <c r="E466" s="8" t="str">
        <f>T("中原民間工藝美術")</f>
        <v>中原民間工藝美術</v>
      </c>
      <c r="F466" s="7" t="s">
        <v>2989</v>
      </c>
      <c r="G466" s="7" t="str">
        <f>T("河南人民")</f>
        <v>河南人民</v>
      </c>
      <c r="H466" s="7" t="str">
        <f>T("")</f>
        <v/>
      </c>
      <c r="I466" s="7">
        <v>36</v>
      </c>
      <c r="J466" s="7">
        <v>216</v>
      </c>
      <c r="K466" s="9" t="s">
        <v>1334</v>
      </c>
    </row>
    <row r="467" spans="1:11" x14ac:dyDescent="0.25">
      <c r="A467" s="5">
        <v>460</v>
      </c>
      <c r="B467" s="5">
        <v>12</v>
      </c>
      <c r="C467" s="10" t="s">
        <v>876</v>
      </c>
      <c r="D467" s="7" t="s">
        <v>1791</v>
      </c>
      <c r="E467" s="8" t="str">
        <f>T("中國美學年鑒.2003")</f>
        <v>中國美學年鑒.2003</v>
      </c>
      <c r="F467" s="7" t="s">
        <v>2990</v>
      </c>
      <c r="G467" s="7" t="str">
        <f>T("河南人民")</f>
        <v>河南人民</v>
      </c>
      <c r="H467" s="7" t="str">
        <f>T("")</f>
        <v/>
      </c>
      <c r="I467" s="7">
        <v>69</v>
      </c>
      <c r="J467" s="7">
        <v>414</v>
      </c>
      <c r="K467" s="9" t="s">
        <v>1334</v>
      </c>
    </row>
    <row r="468" spans="1:11" x14ac:dyDescent="0.25">
      <c r="A468" s="5">
        <v>461</v>
      </c>
      <c r="B468" s="5">
        <v>13</v>
      </c>
      <c r="C468" s="10" t="s">
        <v>879</v>
      </c>
      <c r="D468" s="7" t="s">
        <v>1792</v>
      </c>
      <c r="E468" s="8" t="str">
        <f>T("圖說世界美術大系")</f>
        <v>圖說世界美術大系</v>
      </c>
      <c r="F468" s="7" t="s">
        <v>2991</v>
      </c>
      <c r="G468" s="7" t="str">
        <f>T("廣東人民")</f>
        <v>廣東人民</v>
      </c>
      <c r="H468" s="7" t="str">
        <f>T("20021001")</f>
        <v>20021001</v>
      </c>
      <c r="I468" s="7">
        <v>43</v>
      </c>
      <c r="J468" s="7">
        <v>258</v>
      </c>
      <c r="K468" s="9" t="s">
        <v>1334</v>
      </c>
    </row>
    <row r="469" spans="1:11" x14ac:dyDescent="0.25">
      <c r="A469" s="5">
        <v>462</v>
      </c>
      <c r="B469" s="5">
        <v>14</v>
      </c>
      <c r="C469" s="10" t="s">
        <v>774</v>
      </c>
      <c r="D469" s="7" t="s">
        <v>1793</v>
      </c>
      <c r="E469" s="8" t="str">
        <f>T("設計中國姓")</f>
        <v>設計中國姓</v>
      </c>
      <c r="F469" s="7" t="s">
        <v>2992</v>
      </c>
      <c r="G469" s="7" t="str">
        <f>T("廣東人民")</f>
        <v>廣東人民</v>
      </c>
      <c r="H469" s="7" t="str">
        <f>T("20051101")</f>
        <v>20051101</v>
      </c>
      <c r="I469" s="7">
        <v>26</v>
      </c>
      <c r="J469" s="7">
        <v>156</v>
      </c>
      <c r="K469" s="9" t="s">
        <v>1334</v>
      </c>
    </row>
    <row r="470" spans="1:11" x14ac:dyDescent="0.25">
      <c r="A470" s="5">
        <v>463</v>
      </c>
      <c r="B470" s="5">
        <v>15</v>
      </c>
      <c r="C470" s="10" t="s">
        <v>591</v>
      </c>
      <c r="D470" s="7" t="s">
        <v>1794</v>
      </c>
      <c r="E470" s="8" t="str">
        <f>T("綜合創意實訓導向 樂活漢字")</f>
        <v>綜合創意實訓導向 樂活漢字</v>
      </c>
      <c r="F470" s="7" t="s">
        <v>2993</v>
      </c>
      <c r="G470" s="7" t="str">
        <f>T("廣東人民")</f>
        <v>廣東人民</v>
      </c>
      <c r="H470" s="7" t="str">
        <f>T("20100101")</f>
        <v>20100101</v>
      </c>
      <c r="I470" s="7">
        <v>39</v>
      </c>
      <c r="J470" s="7">
        <v>234</v>
      </c>
      <c r="K470" s="9" t="s">
        <v>1334</v>
      </c>
    </row>
    <row r="471" spans="1:11" ht="28.5" x14ac:dyDescent="0.25">
      <c r="A471" s="5">
        <v>464</v>
      </c>
      <c r="B471" s="5">
        <v>16</v>
      </c>
      <c r="C471" s="10" t="s">
        <v>478</v>
      </c>
      <c r="D471" s="7" t="s">
        <v>1795</v>
      </c>
      <c r="E471" s="8" t="str">
        <f>T("文化演繹中的圖像-中國近現代文學/美術個案解讀")</f>
        <v>文化演繹中的圖像-中國近現代文學/美術個案解讀</v>
      </c>
      <c r="F471" s="7" t="s">
        <v>2994</v>
      </c>
      <c r="G471" s="7" t="str">
        <f>T("廣東人民")</f>
        <v>廣東人民</v>
      </c>
      <c r="H471" s="7" t="str">
        <f>T("20100801")</f>
        <v>20100801</v>
      </c>
      <c r="I471" s="7">
        <v>45</v>
      </c>
      <c r="J471" s="7">
        <v>270</v>
      </c>
      <c r="K471" s="9" t="s">
        <v>1334</v>
      </c>
    </row>
    <row r="472" spans="1:11" x14ac:dyDescent="0.25">
      <c r="A472" s="5">
        <v>465</v>
      </c>
      <c r="B472" s="5">
        <v>17</v>
      </c>
      <c r="C472" s="10" t="s">
        <v>391</v>
      </c>
      <c r="D472" s="7" t="s">
        <v>1796</v>
      </c>
      <c r="E472" s="8" t="str">
        <f>T("全彩西方工藝美術史")</f>
        <v>全彩西方工藝美術史</v>
      </c>
      <c r="F472" s="7" t="s">
        <v>2995</v>
      </c>
      <c r="G472" s="7" t="str">
        <f>T("寧夏人民")</f>
        <v>寧夏人民</v>
      </c>
      <c r="H472" s="7" t="str">
        <f>T("20030301")</f>
        <v>20030301</v>
      </c>
      <c r="I472" s="7">
        <v>68</v>
      </c>
      <c r="J472" s="7">
        <v>408</v>
      </c>
      <c r="K472" s="9" t="s">
        <v>1334</v>
      </c>
    </row>
    <row r="473" spans="1:11" x14ac:dyDescent="0.25">
      <c r="A473" s="5">
        <v>466</v>
      </c>
      <c r="B473" s="5">
        <v>18</v>
      </c>
      <c r="C473" s="10" t="s">
        <v>392</v>
      </c>
      <c r="D473" s="7" t="s">
        <v>1797</v>
      </c>
      <c r="E473" s="8" t="str">
        <f>T("全彩東方工藝美術史")</f>
        <v>全彩東方工藝美術史</v>
      </c>
      <c r="F473" s="7" t="s">
        <v>2996</v>
      </c>
      <c r="G473" s="7" t="str">
        <f>T("寧夏人民")</f>
        <v>寧夏人民</v>
      </c>
      <c r="H473" s="7" t="str">
        <f>T("20030301")</f>
        <v>20030301</v>
      </c>
      <c r="I473" s="7">
        <v>68</v>
      </c>
      <c r="J473" s="7">
        <v>408</v>
      </c>
      <c r="K473" s="9" t="s">
        <v>1334</v>
      </c>
    </row>
    <row r="474" spans="1:11" x14ac:dyDescent="0.25">
      <c r="A474" s="5">
        <v>467</v>
      </c>
      <c r="B474" s="5">
        <v>19</v>
      </c>
      <c r="C474" s="10" t="s">
        <v>490</v>
      </c>
      <c r="D474" s="7" t="s">
        <v>1798</v>
      </c>
      <c r="E474" s="8" t="str">
        <f>T("新疆現代版畫發展史")</f>
        <v>新疆現代版畫發展史</v>
      </c>
      <c r="F474" s="7" t="s">
        <v>1962</v>
      </c>
      <c r="G474" s="7" t="str">
        <f>T("新疆青少年")</f>
        <v>新疆青少年</v>
      </c>
      <c r="H474" s="7" t="str">
        <f>T("20080101")</f>
        <v>20080101</v>
      </c>
      <c r="I474" s="7">
        <v>350</v>
      </c>
      <c r="J474" s="7">
        <v>2100</v>
      </c>
      <c r="K474" s="9" t="s">
        <v>1334</v>
      </c>
    </row>
    <row r="475" spans="1:11" x14ac:dyDescent="0.25">
      <c r="A475" s="5">
        <v>468</v>
      </c>
      <c r="B475" s="5">
        <v>20</v>
      </c>
      <c r="C475" s="10" t="s">
        <v>302</v>
      </c>
      <c r="D475" s="7" t="s">
        <v>1799</v>
      </c>
      <c r="E475" s="8" t="str">
        <f>T("美美與共")</f>
        <v>美美與共</v>
      </c>
      <c r="F475" s="7" t="s">
        <v>1962</v>
      </c>
      <c r="G475" s="7" t="str">
        <f>T("新疆人民")</f>
        <v>新疆人民</v>
      </c>
      <c r="H475" s="7" t="str">
        <f>T("20080201")</f>
        <v>20080201</v>
      </c>
      <c r="I475" s="7">
        <v>102</v>
      </c>
      <c r="J475" s="7">
        <v>612</v>
      </c>
      <c r="K475" s="9" t="s">
        <v>1334</v>
      </c>
    </row>
    <row r="476" spans="1:11" x14ac:dyDescent="0.25">
      <c r="A476" s="5">
        <v>469</v>
      </c>
      <c r="B476" s="5">
        <v>21</v>
      </c>
      <c r="C476" s="10" t="s">
        <v>305</v>
      </c>
      <c r="D476" s="7" t="s">
        <v>1800</v>
      </c>
      <c r="E476" s="8" t="str">
        <f>T("第二屆架上連環畫插圖邀請展")</f>
        <v>第二屆架上連環畫插圖邀請展</v>
      </c>
      <c r="F476" s="7" t="s">
        <v>1962</v>
      </c>
      <c r="G476" s="7" t="str">
        <f>T("新疆人民")</f>
        <v>新疆人民</v>
      </c>
      <c r="H476" s="7" t="str">
        <f>T("20080201")</f>
        <v>20080201</v>
      </c>
      <c r="I476" s="7">
        <v>320</v>
      </c>
      <c r="J476" s="7">
        <v>1920</v>
      </c>
      <c r="K476" s="9" t="s">
        <v>1334</v>
      </c>
    </row>
    <row r="477" spans="1:11" x14ac:dyDescent="0.25">
      <c r="A477" s="5">
        <v>470</v>
      </c>
      <c r="B477" s="5">
        <v>22</v>
      </c>
      <c r="C477" s="10" t="s">
        <v>306</v>
      </c>
      <c r="D477" s="7" t="s">
        <v>1801</v>
      </c>
      <c r="E477" s="8" t="str">
        <f>T("格吐肯書法新作")</f>
        <v>格吐肯書法新作</v>
      </c>
      <c r="F477" s="7" t="s">
        <v>1962</v>
      </c>
      <c r="G477" s="7" t="str">
        <f>T("新疆人民")</f>
        <v>新疆人民</v>
      </c>
      <c r="H477" s="7" t="str">
        <f>T("")</f>
        <v/>
      </c>
      <c r="I477" s="7">
        <v>50</v>
      </c>
      <c r="J477" s="7">
        <v>300</v>
      </c>
      <c r="K477" s="9" t="s">
        <v>1334</v>
      </c>
    </row>
    <row r="478" spans="1:11" ht="28.5" x14ac:dyDescent="0.25">
      <c r="A478" s="5">
        <v>471</v>
      </c>
      <c r="B478" s="5">
        <v>23</v>
      </c>
      <c r="C478" s="10" t="s">
        <v>973</v>
      </c>
      <c r="D478" s="7" t="s">
        <v>1802</v>
      </c>
      <c r="E478" s="8" t="str">
        <f>T("亞麻布上的秘密時光-現代藝術極品閱讀筆記")</f>
        <v>亞麻布上的秘密時光-現代藝術極品閱讀筆記</v>
      </c>
      <c r="F478" s="7" t="s">
        <v>2997</v>
      </c>
      <c r="G478" s="7" t="str">
        <f>T("中國人大")</f>
        <v>中國人大</v>
      </c>
      <c r="H478" s="7" t="str">
        <f>T("20090701")</f>
        <v>20090701</v>
      </c>
      <c r="I478" s="7">
        <v>29.8</v>
      </c>
      <c r="J478" s="7">
        <v>179</v>
      </c>
      <c r="K478" s="9" t="s">
        <v>1334</v>
      </c>
    </row>
    <row r="479" spans="1:11" x14ac:dyDescent="0.25">
      <c r="A479" s="5">
        <v>472</v>
      </c>
      <c r="B479" s="5">
        <v>24</v>
      </c>
      <c r="C479" s="10" t="s">
        <v>427</v>
      </c>
      <c r="D479" s="7" t="s">
        <v>1803</v>
      </c>
      <c r="E479" s="8" t="str">
        <f>T("在驚詫中開始")</f>
        <v>在驚詫中開始</v>
      </c>
      <c r="F479" s="7" t="s">
        <v>2998</v>
      </c>
      <c r="G479" s="7" t="str">
        <f>T("北京大學")</f>
        <v>北京大學</v>
      </c>
      <c r="H479" s="7" t="str">
        <f>T("20050101")</f>
        <v>20050101</v>
      </c>
      <c r="I479" s="7">
        <v>40</v>
      </c>
      <c r="J479" s="7">
        <v>240</v>
      </c>
      <c r="K479" s="9" t="s">
        <v>1334</v>
      </c>
    </row>
    <row r="480" spans="1:11" x14ac:dyDescent="0.25">
      <c r="A480" s="5">
        <v>473</v>
      </c>
      <c r="B480" s="5">
        <v>25</v>
      </c>
      <c r="C480" s="10" t="s">
        <v>229</v>
      </c>
      <c r="D480" s="7" t="s">
        <v>1804</v>
      </c>
      <c r="E480" s="8" t="str">
        <f>T("畫史心香-南北宗的畫史畫論淵源")</f>
        <v>畫史心香-南北宗的畫史畫論淵源</v>
      </c>
      <c r="F480" s="7" t="s">
        <v>2999</v>
      </c>
      <c r="G480" s="7" t="str">
        <f>T("北京大學")</f>
        <v>北京大學</v>
      </c>
      <c r="H480" s="7" t="str">
        <f>T("20100601")</f>
        <v>20100601</v>
      </c>
      <c r="I480" s="7">
        <v>40</v>
      </c>
      <c r="J480" s="7">
        <v>240</v>
      </c>
      <c r="K480" s="9" t="s">
        <v>1334</v>
      </c>
    </row>
    <row r="481" spans="1:11" x14ac:dyDescent="0.25">
      <c r="A481" s="5">
        <v>474</v>
      </c>
      <c r="B481" s="5">
        <v>26</v>
      </c>
      <c r="C481" s="10" t="s">
        <v>862</v>
      </c>
      <c r="D481" s="7" t="s">
        <v>1805</v>
      </c>
      <c r="E481" s="8" t="str">
        <f>T("中國藝術傳統研究")</f>
        <v>中國藝術傳統研究</v>
      </c>
      <c r="F481" s="7" t="s">
        <v>3000</v>
      </c>
      <c r="G481" s="7" t="str">
        <f>T("北京師大")</f>
        <v>北京師大</v>
      </c>
      <c r="H481" s="7" t="str">
        <f>T("20100601")</f>
        <v>20100601</v>
      </c>
      <c r="I481" s="7">
        <v>40</v>
      </c>
      <c r="J481" s="7">
        <v>240</v>
      </c>
      <c r="K481" s="9" t="s">
        <v>1334</v>
      </c>
    </row>
    <row r="482" spans="1:11" x14ac:dyDescent="0.25">
      <c r="A482" s="5">
        <v>475</v>
      </c>
      <c r="B482" s="5">
        <v>27</v>
      </c>
      <c r="C482" s="10" t="s">
        <v>269</v>
      </c>
      <c r="D482" s="7" t="s">
        <v>1806</v>
      </c>
      <c r="E482" s="8" t="str">
        <f>T("幽谷鳴秋—鳴蟲具收藏（彩）")</f>
        <v>幽谷鳴秋—鳴蟲具收藏（彩）</v>
      </c>
      <c r="F482" s="7" t="s">
        <v>1962</v>
      </c>
      <c r="G482" s="7" t="str">
        <f>T("浙江大學")</f>
        <v>浙江大學</v>
      </c>
      <c r="H482" s="7" t="str">
        <f>T("20040101")</f>
        <v>20040101</v>
      </c>
      <c r="I482" s="7">
        <v>42</v>
      </c>
      <c r="J482" s="7">
        <v>252</v>
      </c>
      <c r="K482" s="9" t="s">
        <v>1334</v>
      </c>
    </row>
    <row r="483" spans="1:11" x14ac:dyDescent="0.25">
      <c r="A483" s="5">
        <v>476</v>
      </c>
      <c r="B483" s="5">
        <v>28</v>
      </c>
      <c r="C483" s="10" t="s">
        <v>196</v>
      </c>
      <c r="D483" s="7" t="s">
        <v>1807</v>
      </c>
      <c r="E483" s="8" t="str">
        <f>T("壯闊雄渾：秦漢雕塑藝術")</f>
        <v>壯闊雄渾：秦漢雕塑藝術</v>
      </c>
      <c r="F483" s="7" t="s">
        <v>3001</v>
      </c>
      <c r="G483" s="7" t="str">
        <f t="shared" ref="G483:G496" si="23">T("文物")</f>
        <v>文物</v>
      </c>
      <c r="H483" s="7" t="str">
        <f t="shared" ref="H483:H486" si="24">T("20050101")</f>
        <v>20050101</v>
      </c>
      <c r="I483" s="7"/>
      <c r="J483" s="7">
        <v>75</v>
      </c>
      <c r="K483" s="9" t="s">
        <v>1334</v>
      </c>
    </row>
    <row r="484" spans="1:11" x14ac:dyDescent="0.25">
      <c r="A484" s="5">
        <v>477</v>
      </c>
      <c r="B484" s="5">
        <v>29</v>
      </c>
      <c r="C484" s="13">
        <v>50101505</v>
      </c>
      <c r="D484" s="14">
        <v>7501015058</v>
      </c>
      <c r="E484" s="8" t="s">
        <v>1313</v>
      </c>
      <c r="F484" s="7" t="s">
        <v>1312</v>
      </c>
      <c r="G484" s="7" t="str">
        <f t="shared" si="23"/>
        <v>文物</v>
      </c>
      <c r="H484" s="7">
        <v>20050101</v>
      </c>
      <c r="I484" s="7"/>
      <c r="J484" s="7">
        <v>75</v>
      </c>
      <c r="K484" s="9" t="s">
        <v>1334</v>
      </c>
    </row>
    <row r="485" spans="1:11" x14ac:dyDescent="0.25">
      <c r="A485" s="5">
        <v>478</v>
      </c>
      <c r="B485" s="5">
        <v>30</v>
      </c>
      <c r="C485" s="10" t="s">
        <v>324</v>
      </c>
      <c r="D485" s="7" t="s">
        <v>1808</v>
      </c>
      <c r="E485" s="8" t="str">
        <f>T("陶冶之美:明代瓷器典藏")</f>
        <v>陶冶之美:明代瓷器典藏</v>
      </c>
      <c r="F485" s="7" t="s">
        <v>1312</v>
      </c>
      <c r="G485" s="7" t="str">
        <f t="shared" si="23"/>
        <v>文物</v>
      </c>
      <c r="H485" s="7" t="str">
        <f t="shared" si="24"/>
        <v>20050101</v>
      </c>
      <c r="I485" s="7"/>
      <c r="J485" s="7">
        <v>75</v>
      </c>
      <c r="K485" s="9" t="s">
        <v>1334</v>
      </c>
    </row>
    <row r="486" spans="1:11" x14ac:dyDescent="0.25">
      <c r="A486" s="5">
        <v>479</v>
      </c>
      <c r="B486" s="5">
        <v>31</v>
      </c>
      <c r="C486" s="10" t="s">
        <v>32</v>
      </c>
      <c r="D486" s="7" t="s">
        <v>1809</v>
      </c>
      <c r="E486" s="8" t="str">
        <f>T("名家聖手:明清版畫藝術")</f>
        <v>名家聖手:明清版畫藝術</v>
      </c>
      <c r="F486" s="7" t="s">
        <v>1312</v>
      </c>
      <c r="G486" s="7" t="str">
        <f t="shared" si="23"/>
        <v>文物</v>
      </c>
      <c r="H486" s="7" t="str">
        <f t="shared" si="24"/>
        <v>20050101</v>
      </c>
      <c r="I486" s="7"/>
      <c r="J486" s="7">
        <v>75</v>
      </c>
      <c r="K486" s="9" t="s">
        <v>1334</v>
      </c>
    </row>
    <row r="487" spans="1:11" x14ac:dyDescent="0.25">
      <c r="A487" s="5">
        <v>480</v>
      </c>
      <c r="B487" s="5">
        <v>32</v>
      </c>
      <c r="C487" s="10" t="s">
        <v>71</v>
      </c>
      <c r="D487" s="7" t="s">
        <v>1810</v>
      </c>
      <c r="E487" s="8" t="str">
        <f>T("中國皮影藝術史")</f>
        <v>中國皮影藝術史</v>
      </c>
      <c r="F487" s="7" t="s">
        <v>3002</v>
      </c>
      <c r="G487" s="7" t="str">
        <f t="shared" si="23"/>
        <v>文物</v>
      </c>
      <c r="H487" s="7" t="str">
        <f>T("20070601")</f>
        <v>20070601</v>
      </c>
      <c r="I487" s="7">
        <v>85</v>
      </c>
      <c r="J487" s="7">
        <v>510</v>
      </c>
      <c r="K487" s="9" t="s">
        <v>1334</v>
      </c>
    </row>
    <row r="488" spans="1:11" x14ac:dyDescent="0.25">
      <c r="A488" s="5">
        <v>481</v>
      </c>
      <c r="B488" s="5">
        <v>33</v>
      </c>
      <c r="C488" s="10" t="s">
        <v>72</v>
      </c>
      <c r="D488" s="7" t="s">
        <v>1811</v>
      </c>
      <c r="E488" s="8" t="str">
        <f>T("金磚識錄")</f>
        <v>金磚識錄</v>
      </c>
      <c r="F488" s="7" t="s">
        <v>3003</v>
      </c>
      <c r="G488" s="7" t="str">
        <f t="shared" si="23"/>
        <v>文物</v>
      </c>
      <c r="H488" s="7" t="str">
        <f>T("20070401")</f>
        <v>20070401</v>
      </c>
      <c r="I488" s="7">
        <v>68</v>
      </c>
      <c r="J488" s="7">
        <v>408</v>
      </c>
      <c r="K488" s="9" t="s">
        <v>1334</v>
      </c>
    </row>
    <row r="489" spans="1:11" x14ac:dyDescent="0.25">
      <c r="A489" s="5">
        <v>482</v>
      </c>
      <c r="B489" s="5">
        <v>34</v>
      </c>
      <c r="C489" s="10" t="s">
        <v>73</v>
      </c>
      <c r="D489" s="7" t="s">
        <v>1812</v>
      </c>
      <c r="E489" s="8" t="str">
        <f>T("千年夢華-中國古代陶瓷枕")</f>
        <v>千年夢華-中國古代陶瓷枕</v>
      </c>
      <c r="F489" s="7" t="s">
        <v>3004</v>
      </c>
      <c r="G489" s="7" t="str">
        <f t="shared" si="23"/>
        <v>文物</v>
      </c>
      <c r="H489" s="7" t="str">
        <f>T("20080101")</f>
        <v>20080101</v>
      </c>
      <c r="I489" s="7">
        <v>150</v>
      </c>
      <c r="J489" s="7">
        <v>900</v>
      </c>
      <c r="K489" s="9" t="s">
        <v>1334</v>
      </c>
    </row>
    <row r="490" spans="1:11" x14ac:dyDescent="0.25">
      <c r="A490" s="5">
        <v>483</v>
      </c>
      <c r="B490" s="5">
        <v>35</v>
      </c>
      <c r="C490" s="10" t="s">
        <v>84</v>
      </c>
      <c r="D490" s="7" t="s">
        <v>1813</v>
      </c>
      <c r="E490" s="8" t="str">
        <f>T("千年夢華（第二編）：中國古代陶瓷枕")</f>
        <v>千年夢華（第二編）：中國古代陶瓷枕</v>
      </c>
      <c r="F490" s="7" t="s">
        <v>3004</v>
      </c>
      <c r="G490" s="7" t="str">
        <f t="shared" si="23"/>
        <v>文物</v>
      </c>
      <c r="H490" s="7" t="str">
        <f>T("20100401")</f>
        <v>20100401</v>
      </c>
      <c r="I490" s="7">
        <v>180</v>
      </c>
      <c r="J490" s="7">
        <v>1080</v>
      </c>
      <c r="K490" s="9" t="s">
        <v>1334</v>
      </c>
    </row>
    <row r="491" spans="1:11" ht="28.5" x14ac:dyDescent="0.25">
      <c r="A491" s="5">
        <v>484</v>
      </c>
      <c r="B491" s="5">
        <v>36</v>
      </c>
      <c r="C491" s="10" t="s">
        <v>74</v>
      </c>
      <c r="D491" s="7" t="s">
        <v>1814</v>
      </c>
      <c r="E491" s="8" t="str">
        <f>T("紀念西安碑林920周年華誕國際學術研討會論文集")</f>
        <v>紀念西安碑林920周年華誕國際學術研討會論文集</v>
      </c>
      <c r="F491" s="7" t="s">
        <v>3005</v>
      </c>
      <c r="G491" s="7" t="str">
        <f t="shared" si="23"/>
        <v>文物</v>
      </c>
      <c r="H491" s="7" t="str">
        <f>T("20090101")</f>
        <v>20090101</v>
      </c>
      <c r="I491" s="7">
        <v>198</v>
      </c>
      <c r="J491" s="7">
        <v>1188</v>
      </c>
      <c r="K491" s="9" t="s">
        <v>1334</v>
      </c>
    </row>
    <row r="492" spans="1:11" x14ac:dyDescent="0.25">
      <c r="A492" s="5">
        <v>485</v>
      </c>
      <c r="B492" s="5">
        <v>37</v>
      </c>
      <c r="C492" s="10" t="s">
        <v>75</v>
      </c>
      <c r="D492" s="7" t="s">
        <v>1815</v>
      </c>
      <c r="E492" s="8" t="str">
        <f>T("磁州窯畫枕上的故事")</f>
        <v>磁州窯畫枕上的故事</v>
      </c>
      <c r="F492" s="7" t="s">
        <v>3006</v>
      </c>
      <c r="G492" s="7" t="str">
        <f t="shared" si="23"/>
        <v>文物</v>
      </c>
      <c r="H492" s="7" t="str">
        <f>T("20080601")</f>
        <v>20080601</v>
      </c>
      <c r="I492" s="7">
        <v>58</v>
      </c>
      <c r="J492" s="7">
        <v>348</v>
      </c>
      <c r="K492" s="9" t="s">
        <v>1334</v>
      </c>
    </row>
    <row r="493" spans="1:11" x14ac:dyDescent="0.25">
      <c r="A493" s="5">
        <v>486</v>
      </c>
      <c r="B493" s="5">
        <v>38</v>
      </c>
      <c r="C493" s="10" t="s">
        <v>76</v>
      </c>
      <c r="D493" s="7" t="s">
        <v>1816</v>
      </c>
      <c r="E493" s="8" t="str">
        <f>T("大越遺珍 : 鴻山越墓文物菁華")</f>
        <v>大越遺珍 : 鴻山越墓文物菁華</v>
      </c>
      <c r="F493" s="7" t="s">
        <v>3007</v>
      </c>
      <c r="G493" s="7" t="str">
        <f t="shared" si="23"/>
        <v>文物</v>
      </c>
      <c r="H493" s="7" t="str">
        <f>T("20090401")</f>
        <v>20090401</v>
      </c>
      <c r="I493" s="7">
        <v>388</v>
      </c>
      <c r="J493" s="7">
        <v>2328</v>
      </c>
      <c r="K493" s="9" t="s">
        <v>1334</v>
      </c>
    </row>
    <row r="494" spans="1:11" x14ac:dyDescent="0.25">
      <c r="A494" s="5">
        <v>487</v>
      </c>
      <c r="B494" s="5">
        <v>39</v>
      </c>
      <c r="C494" s="10" t="s">
        <v>9</v>
      </c>
      <c r="D494" s="7" t="s">
        <v>1817</v>
      </c>
      <c r="E494" s="8" t="str">
        <f>T("明拓魯峻碑")</f>
        <v>明拓魯峻碑</v>
      </c>
      <c r="F494" s="7" t="s">
        <v>1312</v>
      </c>
      <c r="G494" s="7" t="str">
        <f t="shared" si="23"/>
        <v>文物</v>
      </c>
      <c r="H494" s="7" t="str">
        <f>T("20090401")</f>
        <v>20090401</v>
      </c>
      <c r="I494" s="7">
        <v>52</v>
      </c>
      <c r="J494" s="7">
        <v>312</v>
      </c>
      <c r="K494" s="9" t="s">
        <v>1334</v>
      </c>
    </row>
    <row r="495" spans="1:11" x14ac:dyDescent="0.25">
      <c r="A495" s="5">
        <v>488</v>
      </c>
      <c r="B495" s="5">
        <v>40</v>
      </c>
      <c r="C495" s="10" t="s">
        <v>10</v>
      </c>
      <c r="D495" s="7" t="s">
        <v>1818</v>
      </c>
      <c r="E495" s="8" t="str">
        <f>T("書法．裝飾．道：古代漢字書法裝飾之道")</f>
        <v>書法．裝飾．道：古代漢字書法裝飾之道</v>
      </c>
      <c r="F495" s="7" t="s">
        <v>3008</v>
      </c>
      <c r="G495" s="7" t="str">
        <f t="shared" si="23"/>
        <v>文物</v>
      </c>
      <c r="H495" s="7" t="str">
        <f>T("20090701")</f>
        <v>20090701</v>
      </c>
      <c r="I495" s="7">
        <v>58</v>
      </c>
      <c r="J495" s="7">
        <v>348</v>
      </c>
      <c r="K495" s="9" t="s">
        <v>1334</v>
      </c>
    </row>
    <row r="496" spans="1:11" x14ac:dyDescent="0.25">
      <c r="A496" s="5">
        <v>489</v>
      </c>
      <c r="B496" s="5">
        <v>41</v>
      </c>
      <c r="C496" s="10" t="s">
        <v>83</v>
      </c>
      <c r="D496" s="7" t="s">
        <v>1819</v>
      </c>
      <c r="E496" s="8" t="str">
        <f>T("郭沫若致容庚書簡")</f>
        <v>郭沫若致容庚書簡</v>
      </c>
      <c r="F496" s="7" t="s">
        <v>3009</v>
      </c>
      <c r="G496" s="7" t="str">
        <f t="shared" si="23"/>
        <v>文物</v>
      </c>
      <c r="H496" s="7" t="str">
        <f>T("20100101")</f>
        <v>20100101</v>
      </c>
      <c r="I496" s="7">
        <v>360</v>
      </c>
      <c r="J496" s="7">
        <v>2160</v>
      </c>
      <c r="K496" s="9" t="s">
        <v>1334</v>
      </c>
    </row>
    <row r="497" spans="1:11" x14ac:dyDescent="0.25">
      <c r="A497" s="5">
        <v>490</v>
      </c>
      <c r="B497" s="5">
        <v>42</v>
      </c>
      <c r="C497" s="10" t="s">
        <v>89</v>
      </c>
      <c r="D497" s="7" t="s">
        <v>1820</v>
      </c>
      <c r="E497" s="8" t="str">
        <f>T("中國文化文物統計年鑒.2004")</f>
        <v>中國文化文物統計年鑒.2004</v>
      </c>
      <c r="F497" s="7" t="s">
        <v>2616</v>
      </c>
      <c r="G497" s="7" t="str">
        <f>T("北京圖書館")</f>
        <v>北京圖書館</v>
      </c>
      <c r="H497" s="7" t="str">
        <f>T("20040901")</f>
        <v>20040901</v>
      </c>
      <c r="I497" s="7">
        <v>120</v>
      </c>
      <c r="J497" s="7">
        <v>720</v>
      </c>
      <c r="K497" s="9" t="s">
        <v>1334</v>
      </c>
    </row>
    <row r="498" spans="1:11" x14ac:dyDescent="0.25">
      <c r="A498" s="5">
        <v>491</v>
      </c>
      <c r="B498" s="5">
        <v>43</v>
      </c>
      <c r="C498" s="10" t="s">
        <v>351</v>
      </c>
      <c r="D498" s="7" t="s">
        <v>1821</v>
      </c>
      <c r="E498" s="8" t="str">
        <f>T("中國文化文物統計年鑒.2005")</f>
        <v>中國文化文物統計年鑒.2005</v>
      </c>
      <c r="F498" s="7" t="s">
        <v>2616</v>
      </c>
      <c r="G498" s="7" t="str">
        <f>T("北京圖書館")</f>
        <v>北京圖書館</v>
      </c>
      <c r="H498" s="7" t="str">
        <f>T("20051101")</f>
        <v>20051101</v>
      </c>
      <c r="I498" s="7">
        <v>120</v>
      </c>
      <c r="J498" s="7">
        <v>720</v>
      </c>
      <c r="K498" s="9" t="s">
        <v>1334</v>
      </c>
    </row>
    <row r="499" spans="1:11" x14ac:dyDescent="0.25">
      <c r="A499" s="5">
        <v>492</v>
      </c>
      <c r="B499" s="5">
        <v>44</v>
      </c>
      <c r="C499" s="10" t="s">
        <v>375</v>
      </c>
      <c r="D499" s="7" t="s">
        <v>1822</v>
      </c>
      <c r="E499" s="8" t="str">
        <f>T("服飾風采")</f>
        <v>服飾風采</v>
      </c>
      <c r="F499" s="7" t="s">
        <v>3010</v>
      </c>
      <c r="G499" s="7" t="str">
        <f>T("中國旅遊")</f>
        <v>中國旅遊</v>
      </c>
      <c r="H499" s="7" t="str">
        <f>T("")</f>
        <v/>
      </c>
      <c r="I499" s="7">
        <v>18</v>
      </c>
      <c r="J499" s="7">
        <v>108</v>
      </c>
      <c r="K499" s="9" t="s">
        <v>1334</v>
      </c>
    </row>
    <row r="500" spans="1:11" x14ac:dyDescent="0.25">
      <c r="A500" s="5">
        <v>493</v>
      </c>
      <c r="B500" s="5">
        <v>45</v>
      </c>
      <c r="C500" s="10" t="s">
        <v>126</v>
      </c>
      <c r="D500" s="7" t="s">
        <v>1823</v>
      </c>
      <c r="E500" s="8" t="str">
        <f>T("歷史視野中的實踐美學")</f>
        <v>歷史視野中的實踐美學</v>
      </c>
      <c r="F500" s="7" t="s">
        <v>3011</v>
      </c>
      <c r="G500" s="7" t="str">
        <f>T("法律")</f>
        <v>法律</v>
      </c>
      <c r="H500" s="7" t="str">
        <f>T("20090901")</f>
        <v>20090901</v>
      </c>
      <c r="I500" s="7">
        <v>23</v>
      </c>
      <c r="J500" s="7">
        <v>138</v>
      </c>
      <c r="K500" s="9" t="s">
        <v>1334</v>
      </c>
    </row>
    <row r="501" spans="1:11" x14ac:dyDescent="0.25">
      <c r="A501" s="5">
        <v>494</v>
      </c>
      <c r="B501" s="5">
        <v>46</v>
      </c>
      <c r="C501" s="10" t="s">
        <v>14</v>
      </c>
      <c r="D501" s="7" t="s">
        <v>1824</v>
      </c>
      <c r="E501" s="8" t="str">
        <f>T("中國常見貿易蘭花識別手冊")</f>
        <v>中國常見貿易蘭花識別手冊</v>
      </c>
      <c r="F501" s="7" t="s">
        <v>3012</v>
      </c>
      <c r="G501" s="7" t="str">
        <f>T("中國林業")</f>
        <v>中國林業</v>
      </c>
      <c r="H501" s="7" t="str">
        <f>T("20080701")</f>
        <v>20080701</v>
      </c>
      <c r="I501" s="7">
        <v>88</v>
      </c>
      <c r="J501" s="7">
        <v>528</v>
      </c>
      <c r="K501" s="9" t="s">
        <v>1334</v>
      </c>
    </row>
    <row r="502" spans="1:11" x14ac:dyDescent="0.25">
      <c r="A502" s="5">
        <v>495</v>
      </c>
      <c r="B502" s="5">
        <v>47</v>
      </c>
      <c r="C502" s="10" t="s">
        <v>25</v>
      </c>
      <c r="D502" s="7" t="s">
        <v>1825</v>
      </c>
      <c r="E502" s="8" t="str">
        <f>T("在中國設計")</f>
        <v>在中國設計</v>
      </c>
      <c r="F502" s="7" t="s">
        <v>3013</v>
      </c>
      <c r="G502" s="7" t="str">
        <f>T("文化藝術")</f>
        <v>文化藝術</v>
      </c>
      <c r="H502" s="7" t="str">
        <f>T("20100601")</f>
        <v>20100601</v>
      </c>
      <c r="I502" s="7">
        <v>48</v>
      </c>
      <c r="J502" s="7">
        <v>288</v>
      </c>
      <c r="K502" s="9" t="s">
        <v>1334</v>
      </c>
    </row>
    <row r="503" spans="1:11" x14ac:dyDescent="0.25">
      <c r="A503" s="5">
        <v>496</v>
      </c>
      <c r="B503" s="5">
        <v>48</v>
      </c>
      <c r="C503" s="10" t="s">
        <v>43</v>
      </c>
      <c r="D503" s="7" t="s">
        <v>1826</v>
      </c>
      <c r="E503" s="8" t="str">
        <f>T("雕塑（中國國粹藝術讀本)")</f>
        <v>雕塑（中國國粹藝術讀本)</v>
      </c>
      <c r="F503" s="7" t="s">
        <v>3014</v>
      </c>
      <c r="G503" s="7" t="str">
        <f>T("中國文聯")</f>
        <v>中國文聯</v>
      </c>
      <c r="H503" s="7" t="str">
        <f>T("20080901")</f>
        <v>20080901</v>
      </c>
      <c r="I503" s="7">
        <v>26.8</v>
      </c>
      <c r="J503" s="7">
        <v>161</v>
      </c>
      <c r="K503" s="9" t="s">
        <v>1334</v>
      </c>
    </row>
    <row r="504" spans="1:11" s="22" customFormat="1" x14ac:dyDescent="0.25">
      <c r="A504" s="5">
        <v>497</v>
      </c>
      <c r="B504" s="5">
        <v>49</v>
      </c>
      <c r="C504" s="10" t="s">
        <v>146</v>
      </c>
      <c r="D504" s="7" t="s">
        <v>1827</v>
      </c>
      <c r="E504" s="8" t="str">
        <f>T("評劇(中國國粹藝術讀本)")</f>
        <v>評劇(中國國粹藝術讀本)</v>
      </c>
      <c r="F504" s="7" t="s">
        <v>3015</v>
      </c>
      <c r="G504" s="7" t="str">
        <f>T("中國文聯")</f>
        <v>中國文聯</v>
      </c>
      <c r="H504" s="7" t="str">
        <f>T("20081001")</f>
        <v>20081001</v>
      </c>
      <c r="I504" s="7">
        <v>26.5</v>
      </c>
      <c r="J504" s="7">
        <v>159</v>
      </c>
      <c r="K504" s="9" t="s">
        <v>1334</v>
      </c>
    </row>
    <row r="505" spans="1:11" x14ac:dyDescent="0.25">
      <c r="A505" s="5">
        <v>498</v>
      </c>
      <c r="B505" s="5">
        <v>50</v>
      </c>
      <c r="C505" s="10" t="s">
        <v>402</v>
      </c>
      <c r="D505" s="7" t="s">
        <v>1828</v>
      </c>
      <c r="E505" s="8" t="str">
        <f>T("國際服飾店堂陳列經典")</f>
        <v>國際服飾店堂陳列經典</v>
      </c>
      <c r="F505" s="7" t="s">
        <v>3016</v>
      </c>
      <c r="G505" s="7" t="str">
        <f>T("東方")</f>
        <v>東方</v>
      </c>
      <c r="H505" s="7" t="str">
        <f>T("20060901")</f>
        <v>20060901</v>
      </c>
      <c r="I505" s="7">
        <v>48</v>
      </c>
      <c r="J505" s="7">
        <v>288</v>
      </c>
      <c r="K505" s="9" t="s">
        <v>1334</v>
      </c>
    </row>
    <row r="506" spans="1:11" x14ac:dyDescent="0.25">
      <c r="A506" s="5">
        <v>499</v>
      </c>
      <c r="B506" s="5">
        <v>51</v>
      </c>
      <c r="C506" s="10" t="s">
        <v>727</v>
      </c>
      <c r="D506" s="7" t="s">
        <v>1829</v>
      </c>
      <c r="E506" s="8" t="str">
        <f>T("意境與空間︰論規劃與設計")</f>
        <v>意境與空間︰論規劃與設計</v>
      </c>
      <c r="F506" s="7" t="s">
        <v>2955</v>
      </c>
      <c r="G506" s="7" t="str">
        <f>T("東方")</f>
        <v>東方</v>
      </c>
      <c r="H506" s="7" t="str">
        <f>T("20100301")</f>
        <v>20100301</v>
      </c>
      <c r="I506" s="7">
        <v>40</v>
      </c>
      <c r="J506" s="7">
        <v>240</v>
      </c>
      <c r="K506" s="9" t="s">
        <v>1334</v>
      </c>
    </row>
    <row r="507" spans="1:11" x14ac:dyDescent="0.25">
      <c r="A507" s="5">
        <v>500</v>
      </c>
      <c r="B507" s="5">
        <v>52</v>
      </c>
      <c r="C507" s="10" t="s">
        <v>423</v>
      </c>
      <c r="D507" s="7" t="s">
        <v>1830</v>
      </c>
      <c r="E507" s="8" t="str">
        <f>T("飾品十字繡")</f>
        <v>飾品十字繡</v>
      </c>
      <c r="F507" s="7" t="s">
        <v>3017</v>
      </c>
      <c r="G507" s="7" t="str">
        <f>T("")</f>
        <v/>
      </c>
      <c r="H507" s="7" t="str">
        <f>T("")</f>
        <v/>
      </c>
      <c r="I507" s="7">
        <v>25</v>
      </c>
      <c r="J507" s="7">
        <v>150</v>
      </c>
      <c r="K507" s="9" t="s">
        <v>1334</v>
      </c>
    </row>
    <row r="508" spans="1:11" x14ac:dyDescent="0.25">
      <c r="A508" s="5">
        <v>501</v>
      </c>
      <c r="B508" s="5">
        <v>53</v>
      </c>
      <c r="C508" s="10" t="s">
        <v>249</v>
      </c>
      <c r="D508" s="7" t="s">
        <v>1831</v>
      </c>
      <c r="E508" s="8" t="str">
        <f>T("湘西民間工藝美術精粹")</f>
        <v>湘西民間工藝美術精粹</v>
      </c>
      <c r="F508" s="7" t="s">
        <v>3018</v>
      </c>
      <c r="G508" s="7" t="str">
        <f>T("學苑")</f>
        <v>學苑</v>
      </c>
      <c r="H508" s="7" t="str">
        <f>T("20070901")</f>
        <v>20070901</v>
      </c>
      <c r="I508" s="7">
        <v>146</v>
      </c>
      <c r="J508" s="7">
        <v>876</v>
      </c>
      <c r="K508" s="9" t="s">
        <v>1334</v>
      </c>
    </row>
    <row r="509" spans="1:11" x14ac:dyDescent="0.25">
      <c r="A509" s="5">
        <v>502</v>
      </c>
      <c r="B509" s="5">
        <v>54</v>
      </c>
      <c r="C509" s="10" t="s">
        <v>98</v>
      </c>
      <c r="D509" s="7" t="s">
        <v>1832</v>
      </c>
      <c r="E509" s="8" t="str">
        <f>T("中國石道")</f>
        <v>中國石道</v>
      </c>
      <c r="F509" s="7" t="s">
        <v>3019</v>
      </c>
      <c r="G509" s="7" t="str">
        <f>T("學苑")</f>
        <v>學苑</v>
      </c>
      <c r="H509" s="7" t="str">
        <f>T("20091201")</f>
        <v>20091201</v>
      </c>
      <c r="I509" s="7">
        <v>76</v>
      </c>
      <c r="J509" s="7">
        <v>456</v>
      </c>
      <c r="K509" s="9" t="s">
        <v>1334</v>
      </c>
    </row>
    <row r="510" spans="1:11" x14ac:dyDescent="0.25">
      <c r="A510" s="5">
        <v>503</v>
      </c>
      <c r="B510" s="5">
        <v>55</v>
      </c>
      <c r="C510" s="10" t="s">
        <v>100</v>
      </c>
      <c r="D510" s="7" t="s">
        <v>1833</v>
      </c>
      <c r="E510" s="8" t="str">
        <f>T("歷代畫家畫論典籍叢刊(一函三冊)")</f>
        <v>歷代畫家畫論典籍叢刊(一函三冊)</v>
      </c>
      <c r="F510" s="7" t="s">
        <v>3009</v>
      </c>
      <c r="G510" s="7" t="str">
        <f>T("學苑")</f>
        <v>學苑</v>
      </c>
      <c r="H510" s="7" t="str">
        <f>T("20100101")</f>
        <v>20100101</v>
      </c>
      <c r="I510" s="7">
        <v>900</v>
      </c>
      <c r="J510" s="7">
        <v>5400</v>
      </c>
      <c r="K510" s="9" t="s">
        <v>1334</v>
      </c>
    </row>
    <row r="511" spans="1:11" x14ac:dyDescent="0.25">
      <c r="A511" s="5">
        <v>504</v>
      </c>
      <c r="B511" s="5">
        <v>56</v>
      </c>
      <c r="C511" s="10" t="s">
        <v>137</v>
      </c>
      <c r="D511" s="7" t="s">
        <v>1834</v>
      </c>
      <c r="E511" s="8" t="str">
        <f>T("中國讀本：中國岩畫·貴州")</f>
        <v>中國讀本：中國岩畫·貴州</v>
      </c>
      <c r="F511" s="7" t="s">
        <v>3020</v>
      </c>
      <c r="G511" s="7" t="str">
        <f>T("國際廣播")</f>
        <v>國際廣播</v>
      </c>
      <c r="H511" s="7" t="str">
        <f>T("20100601")</f>
        <v>20100601</v>
      </c>
      <c r="I511" s="7">
        <v>22</v>
      </c>
      <c r="J511" s="7">
        <v>132</v>
      </c>
      <c r="K511" s="9" t="s">
        <v>1334</v>
      </c>
    </row>
    <row r="512" spans="1:11" x14ac:dyDescent="0.25">
      <c r="A512" s="5">
        <v>505</v>
      </c>
      <c r="B512" s="5">
        <v>57</v>
      </c>
      <c r="C512" s="10" t="s">
        <v>139</v>
      </c>
      <c r="D512" s="7" t="s">
        <v>1835</v>
      </c>
      <c r="E512" s="8" t="str">
        <f>T("中國讀本：中國古代戲曲")</f>
        <v>中國讀本：中國古代戲曲</v>
      </c>
      <c r="F512" s="7" t="s">
        <v>3021</v>
      </c>
      <c r="G512" s="7" t="str">
        <f>T("國際廣播")</f>
        <v>國際廣播</v>
      </c>
      <c r="H512" s="7" t="str">
        <f>T("20100801")</f>
        <v>20100801</v>
      </c>
      <c r="I512" s="7">
        <v>16</v>
      </c>
      <c r="J512" s="7">
        <v>96</v>
      </c>
      <c r="K512" s="9" t="s">
        <v>1334</v>
      </c>
    </row>
    <row r="513" spans="1:11" x14ac:dyDescent="0.25">
      <c r="A513" s="5">
        <v>506</v>
      </c>
      <c r="B513" s="5">
        <v>58</v>
      </c>
      <c r="C513" s="10" t="s">
        <v>372</v>
      </c>
      <c r="D513" s="7" t="s">
        <v>1836</v>
      </c>
      <c r="E513" s="8" t="str">
        <f>T("中國民間美術─人文中國書系")</f>
        <v>中國民間美術─人文中國書系</v>
      </c>
      <c r="F513" s="7" t="s">
        <v>3022</v>
      </c>
      <c r="G513" s="7" t="str">
        <f>T("五洲傳播")</f>
        <v>五洲傳播</v>
      </c>
      <c r="H513" s="7" t="str">
        <f>T("20040801")</f>
        <v>20040801</v>
      </c>
      <c r="I513" s="7">
        <v>36</v>
      </c>
      <c r="J513" s="7">
        <v>216</v>
      </c>
      <c r="K513" s="9" t="s">
        <v>1334</v>
      </c>
    </row>
    <row r="514" spans="1:11" x14ac:dyDescent="0.25">
      <c r="A514" s="5">
        <v>507</v>
      </c>
      <c r="B514" s="5">
        <v>59</v>
      </c>
      <c r="C514" s="10" t="s">
        <v>374</v>
      </c>
      <c r="D514" s="7" t="s">
        <v>1837</v>
      </c>
      <c r="E514" s="8" t="str">
        <f>T("民間工藝美術")</f>
        <v>民間工藝美術</v>
      </c>
      <c r="F514" s="7" t="s">
        <v>3023</v>
      </c>
      <c r="G514" s="7" t="str">
        <f>T("中國社會")</f>
        <v>中國社會</v>
      </c>
      <c r="H514" s="7" t="str">
        <f>T("20060901")</f>
        <v>20060901</v>
      </c>
      <c r="I514" s="7">
        <v>12</v>
      </c>
      <c r="J514" s="7">
        <v>72</v>
      </c>
      <c r="K514" s="9" t="s">
        <v>1334</v>
      </c>
    </row>
    <row r="515" spans="1:11" x14ac:dyDescent="0.25">
      <c r="A515" s="5">
        <v>508</v>
      </c>
      <c r="B515" s="5">
        <v>60</v>
      </c>
      <c r="C515" s="10" t="s">
        <v>85</v>
      </c>
      <c r="D515" s="7" t="s">
        <v>1838</v>
      </c>
      <c r="E515" s="8" t="str">
        <f>T("槎溪藝菊志（一函四冊）")</f>
        <v>槎溪藝菊志（一函四冊）</v>
      </c>
      <c r="F515" s="7" t="s">
        <v>3024</v>
      </c>
      <c r="G515" s="7" t="str">
        <f>T("中國書店")</f>
        <v>中國書店</v>
      </c>
      <c r="H515" s="7" t="str">
        <f>T("20120101")</f>
        <v>20120101</v>
      </c>
      <c r="I515" s="7">
        <v>980</v>
      </c>
      <c r="J515" s="7">
        <v>5880</v>
      </c>
      <c r="K515" s="9" t="s">
        <v>1334</v>
      </c>
    </row>
    <row r="516" spans="1:11" ht="28.5" x14ac:dyDescent="0.25">
      <c r="A516" s="5">
        <v>509</v>
      </c>
      <c r="B516" s="5">
        <v>61</v>
      </c>
      <c r="C516" s="10" t="s">
        <v>715</v>
      </c>
      <c r="D516" s="7" t="s">
        <v>1839</v>
      </c>
      <c r="E516" s="8" t="str">
        <f>T("天津人民美術出版社50周年社慶書畫作品集")</f>
        <v>天津人民美術出版社50周年社慶書畫作品集</v>
      </c>
      <c r="F516" s="7" t="s">
        <v>2616</v>
      </c>
      <c r="G516" s="7" t="str">
        <f t="shared" ref="G516:G540" si="25">T("天津人美")</f>
        <v>天津人美</v>
      </c>
      <c r="H516" s="7" t="str">
        <f>T("20040801")</f>
        <v>20040801</v>
      </c>
      <c r="I516" s="7">
        <v>85</v>
      </c>
      <c r="J516" s="7">
        <v>510</v>
      </c>
      <c r="K516" s="9" t="s">
        <v>1334</v>
      </c>
    </row>
    <row r="517" spans="1:11" x14ac:dyDescent="0.25">
      <c r="A517" s="5">
        <v>510</v>
      </c>
      <c r="B517" s="5">
        <v>62</v>
      </c>
      <c r="C517" s="10" t="s">
        <v>716</v>
      </c>
      <c r="D517" s="7" t="s">
        <v>1840</v>
      </c>
      <c r="E517" s="8" t="str">
        <f>T("于慶成 泥塑藝術：紀念天津建城600周年")</f>
        <v>于慶成 泥塑藝術：紀念天津建城600周年</v>
      </c>
      <c r="F517" s="7" t="s">
        <v>3025</v>
      </c>
      <c r="G517" s="7" t="str">
        <f t="shared" si="25"/>
        <v>天津人美</v>
      </c>
      <c r="H517" s="7" t="str">
        <f>T("20050501")</f>
        <v>20050501</v>
      </c>
      <c r="I517" s="7">
        <v>196</v>
      </c>
      <c r="J517" s="7">
        <v>1176</v>
      </c>
      <c r="K517" s="9" t="s">
        <v>1334</v>
      </c>
    </row>
    <row r="518" spans="1:11" x14ac:dyDescent="0.25">
      <c r="A518" s="5">
        <v>511</v>
      </c>
      <c r="B518" s="5">
        <v>63</v>
      </c>
      <c r="C518" s="10" t="s">
        <v>717</v>
      </c>
      <c r="D518" s="7" t="s">
        <v>1841</v>
      </c>
      <c r="E518" s="8" t="str">
        <f>T("餐館 茶館 咖啡廳－小型商業空間設計圖集")</f>
        <v>餐館 茶館 咖啡廳－小型商業空間設計圖集</v>
      </c>
      <c r="F518" s="7" t="s">
        <v>3026</v>
      </c>
      <c r="G518" s="7" t="str">
        <f t="shared" si="25"/>
        <v>天津人美</v>
      </c>
      <c r="H518" s="7" t="str">
        <f t="shared" ref="H518:H525" si="26">T("20050101")</f>
        <v>20050101</v>
      </c>
      <c r="I518" s="7">
        <v>14.8</v>
      </c>
      <c r="J518" s="7">
        <v>89</v>
      </c>
      <c r="K518" s="9" t="s">
        <v>1334</v>
      </c>
    </row>
    <row r="519" spans="1:11" ht="28.5" x14ac:dyDescent="0.25">
      <c r="A519" s="5">
        <v>512</v>
      </c>
      <c r="B519" s="5">
        <v>64</v>
      </c>
      <c r="C519" s="10" t="s">
        <v>718</v>
      </c>
      <c r="D519" s="7" t="s">
        <v>1841</v>
      </c>
      <c r="E519" s="8" t="str">
        <f>T("歌舞廳 酒廊 洗浴中心－小型商業空間設計圖集")</f>
        <v>歌舞廳 酒廊 洗浴中心－小型商業空間設計圖集</v>
      </c>
      <c r="F519" s="7" t="s">
        <v>3026</v>
      </c>
      <c r="G519" s="7" t="str">
        <f t="shared" si="25"/>
        <v>天津人美</v>
      </c>
      <c r="H519" s="7" t="str">
        <f t="shared" si="26"/>
        <v>20050101</v>
      </c>
      <c r="I519" s="7">
        <v>14.8</v>
      </c>
      <c r="J519" s="7">
        <v>89</v>
      </c>
      <c r="K519" s="9" t="s">
        <v>1334</v>
      </c>
    </row>
    <row r="520" spans="1:11" ht="28.5" x14ac:dyDescent="0.25">
      <c r="A520" s="5">
        <v>513</v>
      </c>
      <c r="B520" s="5">
        <v>65</v>
      </c>
      <c r="C520" s="10" t="s">
        <v>719</v>
      </c>
      <c r="D520" s="7" t="s">
        <v>1841</v>
      </c>
      <c r="E520" s="8" t="str">
        <f>T("茶樓 酒吧 西餐廳－
小型商業空間設計圖集")</f>
        <v>茶樓 酒吧 西餐廳－
小型商業空間設計圖集</v>
      </c>
      <c r="F520" s="7" t="s">
        <v>3027</v>
      </c>
      <c r="G520" s="7" t="str">
        <f t="shared" si="25"/>
        <v>天津人美</v>
      </c>
      <c r="H520" s="7" t="str">
        <f t="shared" si="26"/>
        <v>20050101</v>
      </c>
      <c r="I520" s="7">
        <v>14.8</v>
      </c>
      <c r="J520" s="7">
        <v>89</v>
      </c>
      <c r="K520" s="9" t="s">
        <v>1334</v>
      </c>
    </row>
    <row r="521" spans="1:11" x14ac:dyDescent="0.25">
      <c r="A521" s="5">
        <v>514</v>
      </c>
      <c r="B521" s="5">
        <v>66</v>
      </c>
      <c r="C521" s="10" t="s">
        <v>720</v>
      </c>
      <c r="D521" s="7" t="s">
        <v>1841</v>
      </c>
      <c r="E521" s="8" t="str">
        <f>T("商業門面專賣店－小型商業空間設計圖集")</f>
        <v>商業門面專賣店－小型商業空間設計圖集</v>
      </c>
      <c r="F521" s="7" t="s">
        <v>3028</v>
      </c>
      <c r="G521" s="7" t="str">
        <f t="shared" si="25"/>
        <v>天津人美</v>
      </c>
      <c r="H521" s="7" t="str">
        <f t="shared" si="26"/>
        <v>20050101</v>
      </c>
      <c r="I521" s="7">
        <v>14.8</v>
      </c>
      <c r="J521" s="7">
        <v>89</v>
      </c>
      <c r="K521" s="9" t="s">
        <v>1334</v>
      </c>
    </row>
    <row r="522" spans="1:11" ht="28.5" x14ac:dyDescent="0.25">
      <c r="A522" s="5">
        <v>515</v>
      </c>
      <c r="B522" s="5">
        <v>67</v>
      </c>
      <c r="C522" s="10" t="s">
        <v>721</v>
      </c>
      <c r="D522" s="7" t="s">
        <v>1841</v>
      </c>
      <c r="E522" s="8" t="str">
        <f>T("展示中心 洽談中心－小型商業空間設計圖集")</f>
        <v>展示中心 洽談中心－小型商業空間設計圖集</v>
      </c>
      <c r="F522" s="7" t="s">
        <v>3026</v>
      </c>
      <c r="G522" s="7" t="str">
        <f t="shared" si="25"/>
        <v>天津人美</v>
      </c>
      <c r="H522" s="7" t="str">
        <f t="shared" si="26"/>
        <v>20050101</v>
      </c>
      <c r="I522" s="7">
        <v>14.8</v>
      </c>
      <c r="J522" s="7">
        <v>89</v>
      </c>
      <c r="K522" s="9" t="s">
        <v>1334</v>
      </c>
    </row>
    <row r="523" spans="1:11" ht="28.5" x14ac:dyDescent="0.25">
      <c r="A523" s="5">
        <v>516</v>
      </c>
      <c r="B523" s="5">
        <v>68</v>
      </c>
      <c r="C523" s="10" t="s">
        <v>722</v>
      </c>
      <c r="D523" s="7" t="s">
        <v>1841</v>
      </c>
      <c r="E523" s="8" t="str">
        <f>T("酒店藝術陳設品設計與製作－小型商業空間設計圖集")</f>
        <v>酒店藝術陳設品設計與製作－小型商業空間設計圖集</v>
      </c>
      <c r="F523" s="7" t="s">
        <v>3026</v>
      </c>
      <c r="G523" s="7" t="str">
        <f t="shared" si="25"/>
        <v>天津人美</v>
      </c>
      <c r="H523" s="7" t="str">
        <f t="shared" si="26"/>
        <v>20050101</v>
      </c>
      <c r="I523" s="7">
        <v>14.8</v>
      </c>
      <c r="J523" s="7">
        <v>89</v>
      </c>
      <c r="K523" s="9" t="s">
        <v>1334</v>
      </c>
    </row>
    <row r="524" spans="1:11" ht="28.5" x14ac:dyDescent="0.25">
      <c r="A524" s="5">
        <v>517</v>
      </c>
      <c r="B524" s="5">
        <v>69</v>
      </c>
      <c r="C524" s="10" t="s">
        <v>723</v>
      </c>
      <c r="D524" s="7" t="s">
        <v>1841</v>
      </c>
      <c r="E524" s="8" t="str">
        <f>T("國外店鋪門面及內裝修－小型商業空間設計圖集")</f>
        <v>國外店鋪門面及內裝修－小型商業空間設計圖集</v>
      </c>
      <c r="F524" s="7" t="s">
        <v>3029</v>
      </c>
      <c r="G524" s="7" t="str">
        <f t="shared" si="25"/>
        <v>天津人美</v>
      </c>
      <c r="H524" s="7" t="str">
        <f t="shared" si="26"/>
        <v>20050101</v>
      </c>
      <c r="I524" s="7">
        <v>14.8</v>
      </c>
      <c r="J524" s="7">
        <v>89</v>
      </c>
      <c r="K524" s="9" t="s">
        <v>1334</v>
      </c>
    </row>
    <row r="525" spans="1:11" ht="28.5" x14ac:dyDescent="0.25">
      <c r="A525" s="5">
        <v>518</v>
      </c>
      <c r="B525" s="5">
        <v>70</v>
      </c>
      <c r="C525" s="10" t="s">
        <v>724</v>
      </c>
      <c r="D525" s="7" t="s">
        <v>1841</v>
      </c>
      <c r="E525" s="8" t="str">
        <f>T("酒店標識系統設計與製作－小型商業空間設計圖集")</f>
        <v>酒店標識系統設計與製作－小型商業空間設計圖集</v>
      </c>
      <c r="F525" s="7" t="s">
        <v>3030</v>
      </c>
      <c r="G525" s="7" t="str">
        <f t="shared" si="25"/>
        <v>天津人美</v>
      </c>
      <c r="H525" s="7" t="str">
        <f t="shared" si="26"/>
        <v>20050101</v>
      </c>
      <c r="I525" s="7">
        <v>14.8</v>
      </c>
      <c r="J525" s="7">
        <v>89</v>
      </c>
      <c r="K525" s="9" t="s">
        <v>1334</v>
      </c>
    </row>
    <row r="526" spans="1:11" x14ac:dyDescent="0.25">
      <c r="A526" s="5">
        <v>519</v>
      </c>
      <c r="B526" s="5">
        <v>71</v>
      </c>
      <c r="C526" s="10" t="s">
        <v>725</v>
      </c>
      <c r="D526" s="7" t="s">
        <v>1842</v>
      </c>
      <c r="E526" s="8" t="str">
        <f>T("白描花卉課堂教程")</f>
        <v>白描花卉課堂教程</v>
      </c>
      <c r="F526" s="7" t="s">
        <v>3031</v>
      </c>
      <c r="G526" s="7" t="str">
        <f t="shared" si="25"/>
        <v>天津人美</v>
      </c>
      <c r="H526" s="7" t="str">
        <f>T("20050601")</f>
        <v>20050601</v>
      </c>
      <c r="I526" s="7">
        <v>12.6</v>
      </c>
      <c r="J526" s="7">
        <v>76</v>
      </c>
      <c r="K526" s="9" t="s">
        <v>1334</v>
      </c>
    </row>
    <row r="527" spans="1:11" x14ac:dyDescent="0.25">
      <c r="A527" s="5">
        <v>520</v>
      </c>
      <c r="B527" s="5">
        <v>72</v>
      </c>
      <c r="C527" s="10" t="s">
        <v>726</v>
      </c>
      <c r="D527" s="7" t="s">
        <v>1842</v>
      </c>
      <c r="E527" s="8" t="str">
        <f>T("油畫創作課堂教程")</f>
        <v>油畫創作課堂教程</v>
      </c>
      <c r="F527" s="7" t="s">
        <v>3032</v>
      </c>
      <c r="G527" s="7" t="str">
        <f t="shared" si="25"/>
        <v>天津人美</v>
      </c>
      <c r="H527" s="7" t="str">
        <f t="shared" ref="H527:H532" si="27">T("20050101")</f>
        <v>20050101</v>
      </c>
      <c r="I527" s="7">
        <v>23</v>
      </c>
      <c r="J527" s="7">
        <v>138</v>
      </c>
      <c r="K527" s="9" t="s">
        <v>1334</v>
      </c>
    </row>
    <row r="528" spans="1:11" x14ac:dyDescent="0.25">
      <c r="A528" s="5">
        <v>521</v>
      </c>
      <c r="B528" s="5">
        <v>73</v>
      </c>
      <c r="C528" s="10" t="s">
        <v>533</v>
      </c>
      <c r="D528" s="7" t="s">
        <v>1843</v>
      </c>
      <c r="E528" s="8" t="str">
        <f>T("裝飾藝術設計")</f>
        <v>裝飾藝術設計</v>
      </c>
      <c r="F528" s="7" t="s">
        <v>3033</v>
      </c>
      <c r="G528" s="7" t="str">
        <f t="shared" si="25"/>
        <v>天津人美</v>
      </c>
      <c r="H528" s="7" t="str">
        <f t="shared" si="27"/>
        <v>20050101</v>
      </c>
      <c r="I528" s="7">
        <v>46</v>
      </c>
      <c r="J528" s="7">
        <v>276</v>
      </c>
      <c r="K528" s="9" t="s">
        <v>1334</v>
      </c>
    </row>
    <row r="529" spans="1:11" x14ac:dyDescent="0.25">
      <c r="A529" s="5">
        <v>522</v>
      </c>
      <c r="B529" s="5">
        <v>74</v>
      </c>
      <c r="C529" s="10" t="s">
        <v>534</v>
      </c>
      <c r="D529" s="7" t="s">
        <v>1844</v>
      </c>
      <c r="E529" s="8" t="str">
        <f>T("設計色彩課堂教程")</f>
        <v>設計色彩課堂教程</v>
      </c>
      <c r="F529" s="7" t="s">
        <v>3034</v>
      </c>
      <c r="G529" s="7" t="str">
        <f t="shared" si="25"/>
        <v>天津人美</v>
      </c>
      <c r="H529" s="7" t="str">
        <f t="shared" si="27"/>
        <v>20050101</v>
      </c>
      <c r="I529" s="7">
        <v>23</v>
      </c>
      <c r="J529" s="7">
        <v>138</v>
      </c>
      <c r="K529" s="9" t="s">
        <v>1334</v>
      </c>
    </row>
    <row r="530" spans="1:11" x14ac:dyDescent="0.25">
      <c r="A530" s="5">
        <v>523</v>
      </c>
      <c r="B530" s="5">
        <v>75</v>
      </c>
      <c r="C530" s="10" t="s">
        <v>535</v>
      </c>
      <c r="D530" s="7" t="s">
        <v>1844</v>
      </c>
      <c r="E530" s="8" t="str">
        <f>T("設計效果圖課堂教程")</f>
        <v>設計效果圖課堂教程</v>
      </c>
      <c r="F530" s="7" t="s">
        <v>3034</v>
      </c>
      <c r="G530" s="7" t="str">
        <f t="shared" si="25"/>
        <v>天津人美</v>
      </c>
      <c r="H530" s="7" t="str">
        <f t="shared" si="27"/>
        <v>20050101</v>
      </c>
      <c r="I530" s="7">
        <v>23</v>
      </c>
      <c r="J530" s="7">
        <v>138</v>
      </c>
      <c r="K530" s="9" t="s">
        <v>1334</v>
      </c>
    </row>
    <row r="531" spans="1:11" x14ac:dyDescent="0.25">
      <c r="A531" s="5">
        <v>524</v>
      </c>
      <c r="B531" s="5">
        <v>76</v>
      </c>
      <c r="C531" s="10" t="s">
        <v>536</v>
      </c>
      <c r="D531" s="7" t="s">
        <v>1845</v>
      </c>
      <c r="E531" s="8" t="str">
        <f>T("創意百體美術字")</f>
        <v>創意百體美術字</v>
      </c>
      <c r="F531" s="7" t="s">
        <v>3035</v>
      </c>
      <c r="G531" s="7" t="str">
        <f t="shared" si="25"/>
        <v>天津人美</v>
      </c>
      <c r="H531" s="7" t="str">
        <f t="shared" si="27"/>
        <v>20050101</v>
      </c>
      <c r="I531" s="7">
        <v>18</v>
      </c>
      <c r="J531" s="7">
        <v>108</v>
      </c>
      <c r="K531" s="9" t="s">
        <v>1334</v>
      </c>
    </row>
    <row r="532" spans="1:11" x14ac:dyDescent="0.25">
      <c r="A532" s="5">
        <v>525</v>
      </c>
      <c r="B532" s="5">
        <v>77</v>
      </c>
      <c r="C532" s="10" t="s">
        <v>537</v>
      </c>
      <c r="D532" s="7" t="s">
        <v>1846</v>
      </c>
      <c r="E532" s="8" t="str">
        <f>T("中外名人漫畫－張曉冬作品選")</f>
        <v>中外名人漫畫－張曉冬作品選</v>
      </c>
      <c r="F532" s="7" t="s">
        <v>3036</v>
      </c>
      <c r="G532" s="7" t="str">
        <f t="shared" si="25"/>
        <v>天津人美</v>
      </c>
      <c r="H532" s="7" t="str">
        <f t="shared" si="27"/>
        <v>20050101</v>
      </c>
      <c r="I532" s="7">
        <v>20</v>
      </c>
      <c r="J532" s="7">
        <v>120</v>
      </c>
      <c r="K532" s="9" t="s">
        <v>1334</v>
      </c>
    </row>
    <row r="533" spans="1:11" x14ac:dyDescent="0.25">
      <c r="A533" s="5">
        <v>526</v>
      </c>
      <c r="B533" s="5">
        <v>78</v>
      </c>
      <c r="C533" s="10" t="s">
        <v>538</v>
      </c>
      <c r="D533" s="7" t="s">
        <v>1847</v>
      </c>
      <c r="E533" s="8" t="str">
        <f>T("鑒藏生肖飾品")</f>
        <v>鑒藏生肖飾品</v>
      </c>
      <c r="F533" s="7" t="s">
        <v>1312</v>
      </c>
      <c r="G533" s="7" t="str">
        <f t="shared" si="25"/>
        <v>天津人美</v>
      </c>
      <c r="H533" s="7" t="str">
        <f>T("")</f>
        <v/>
      </c>
      <c r="I533" s="7">
        <v>24</v>
      </c>
      <c r="J533" s="7">
        <v>144</v>
      </c>
      <c r="K533" s="9" t="s">
        <v>1334</v>
      </c>
    </row>
    <row r="534" spans="1:11" x14ac:dyDescent="0.25">
      <c r="A534" s="5">
        <v>527</v>
      </c>
      <c r="B534" s="5">
        <v>79</v>
      </c>
      <c r="C534" s="10" t="s">
        <v>539</v>
      </c>
      <c r="D534" s="7" t="s">
        <v>1848</v>
      </c>
      <c r="E534" s="8" t="str">
        <f>T("高考設計經典")</f>
        <v>高考設計經典</v>
      </c>
      <c r="F534" s="7" t="s">
        <v>3037</v>
      </c>
      <c r="G534" s="7" t="str">
        <f t="shared" si="25"/>
        <v>天津人美</v>
      </c>
      <c r="H534" s="7" t="str">
        <f>T("20050101")</f>
        <v>20050101</v>
      </c>
      <c r="I534" s="7">
        <v>48</v>
      </c>
      <c r="J534" s="7">
        <v>288</v>
      </c>
      <c r="K534" s="9" t="s">
        <v>1334</v>
      </c>
    </row>
    <row r="535" spans="1:11" x14ac:dyDescent="0.25">
      <c r="A535" s="5">
        <v>528</v>
      </c>
      <c r="B535" s="5">
        <v>80</v>
      </c>
      <c r="C535" s="10" t="s">
        <v>540</v>
      </c>
      <c r="D535" s="7" t="s">
        <v>1849</v>
      </c>
      <c r="E535" s="8" t="str">
        <f>T("廣告設計課堂教程")</f>
        <v>廣告設計課堂教程</v>
      </c>
      <c r="F535" s="7" t="s">
        <v>3038</v>
      </c>
      <c r="G535" s="7" t="str">
        <f t="shared" si="25"/>
        <v>天津人美</v>
      </c>
      <c r="H535" s="7" t="str">
        <f>T("20050101")</f>
        <v>20050101</v>
      </c>
      <c r="I535" s="7">
        <v>29.8</v>
      </c>
      <c r="J535" s="7">
        <v>179</v>
      </c>
      <c r="K535" s="9" t="s">
        <v>1334</v>
      </c>
    </row>
    <row r="536" spans="1:11" x14ac:dyDescent="0.25">
      <c r="A536" s="5">
        <v>529</v>
      </c>
      <c r="B536" s="5">
        <v>81</v>
      </c>
      <c r="C536" s="10" t="s">
        <v>415</v>
      </c>
      <c r="D536" s="7" t="s">
        <v>1850</v>
      </c>
      <c r="E536" s="8" t="str">
        <f>T("服裝效果圖課堂教程")</f>
        <v>服裝效果圖課堂教程</v>
      </c>
      <c r="F536" s="7" t="s">
        <v>3039</v>
      </c>
      <c r="G536" s="7" t="str">
        <f t="shared" si="25"/>
        <v>天津人美</v>
      </c>
      <c r="H536" s="7" t="str">
        <f>T("20050101")</f>
        <v>20050101</v>
      </c>
      <c r="I536" s="7">
        <v>17</v>
      </c>
      <c r="J536" s="7">
        <v>102</v>
      </c>
      <c r="K536" s="9" t="s">
        <v>1334</v>
      </c>
    </row>
    <row r="537" spans="1:11" x14ac:dyDescent="0.25">
      <c r="A537" s="5">
        <v>530</v>
      </c>
      <c r="B537" s="5">
        <v>82</v>
      </c>
      <c r="C537" s="10" t="s">
        <v>315</v>
      </c>
      <c r="D537" s="7" t="s">
        <v>1851</v>
      </c>
      <c r="E537" s="8" t="str">
        <f>T("鼎盛36家圖卷")</f>
        <v>鼎盛36家圖卷</v>
      </c>
      <c r="F537" s="7" t="s">
        <v>3040</v>
      </c>
      <c r="G537" s="7" t="str">
        <f t="shared" si="25"/>
        <v>天津人美</v>
      </c>
      <c r="H537" s="7" t="str">
        <f>T("20050101")</f>
        <v>20050101</v>
      </c>
      <c r="I537" s="7">
        <v>65</v>
      </c>
      <c r="J537" s="7">
        <v>390</v>
      </c>
      <c r="K537" s="9" t="s">
        <v>1334</v>
      </c>
    </row>
    <row r="538" spans="1:11" x14ac:dyDescent="0.25">
      <c r="A538" s="5">
        <v>531</v>
      </c>
      <c r="B538" s="5">
        <v>83</v>
      </c>
      <c r="C538" s="10" t="s">
        <v>316</v>
      </c>
      <c r="D538" s="7" t="s">
        <v>1852</v>
      </c>
      <c r="E538" s="8" t="str">
        <f>T("鑒藏如意")</f>
        <v>鑒藏如意</v>
      </c>
      <c r="F538" s="7" t="s">
        <v>3041</v>
      </c>
      <c r="G538" s="7" t="str">
        <f t="shared" si="25"/>
        <v>天津人美</v>
      </c>
      <c r="H538" s="7" t="str">
        <f>T("20050501")</f>
        <v>20050501</v>
      </c>
      <c r="I538" s="7">
        <v>24</v>
      </c>
      <c r="J538" s="7">
        <v>144</v>
      </c>
      <c r="K538" s="9" t="s">
        <v>1334</v>
      </c>
    </row>
    <row r="539" spans="1:11" x14ac:dyDescent="0.25">
      <c r="A539" s="5">
        <v>532</v>
      </c>
      <c r="B539" s="5">
        <v>84</v>
      </c>
      <c r="C539" s="10" t="s">
        <v>420</v>
      </c>
      <c r="D539" s="7" t="s">
        <v>1853</v>
      </c>
      <c r="E539" s="8" t="str">
        <f>T("字體要點分析")</f>
        <v>字體要點分析</v>
      </c>
      <c r="F539" s="7" t="s">
        <v>3042</v>
      </c>
      <c r="G539" s="7" t="str">
        <f t="shared" si="25"/>
        <v>天津人美</v>
      </c>
      <c r="H539" s="7" t="str">
        <f>T("20050801")</f>
        <v>20050801</v>
      </c>
      <c r="I539" s="7">
        <v>16.5</v>
      </c>
      <c r="J539" s="7">
        <v>99</v>
      </c>
      <c r="K539" s="9" t="s">
        <v>1334</v>
      </c>
    </row>
    <row r="540" spans="1:11" x14ac:dyDescent="0.25">
      <c r="A540" s="5">
        <v>533</v>
      </c>
      <c r="B540" s="5">
        <v>85</v>
      </c>
      <c r="C540" s="10" t="s">
        <v>421</v>
      </c>
      <c r="D540" s="7" t="s">
        <v>1853</v>
      </c>
      <c r="E540" s="8" t="str">
        <f>T("設計過程分析")</f>
        <v>設計過程分析</v>
      </c>
      <c r="F540" s="7" t="s">
        <v>3042</v>
      </c>
      <c r="G540" s="7" t="str">
        <f t="shared" si="25"/>
        <v>天津人美</v>
      </c>
      <c r="H540" s="7" t="str">
        <f>T("20050801")</f>
        <v>20050801</v>
      </c>
      <c r="I540" s="7">
        <v>16.5</v>
      </c>
      <c r="J540" s="7">
        <v>99</v>
      </c>
      <c r="K540" s="9" t="s">
        <v>1334</v>
      </c>
    </row>
    <row r="541" spans="1:11" x14ac:dyDescent="0.25">
      <c r="A541" s="5">
        <v>534</v>
      </c>
      <c r="B541" s="5">
        <v>86</v>
      </c>
      <c r="C541" s="10" t="s">
        <v>56</v>
      </c>
      <c r="D541" s="7" t="s">
        <v>1854</v>
      </c>
      <c r="E541" s="8" t="str">
        <f>T("跟著美術大師漫步")</f>
        <v>跟著美術大師漫步</v>
      </c>
      <c r="F541" s="7" t="s">
        <v>3043</v>
      </c>
      <c r="G541" s="7" t="str">
        <f>T("百花文藝")</f>
        <v>百花文藝</v>
      </c>
      <c r="H541" s="7" t="str">
        <f>T("20090401")</f>
        <v>20090401</v>
      </c>
      <c r="I541" s="7">
        <v>28</v>
      </c>
      <c r="J541" s="7">
        <v>168</v>
      </c>
      <c r="K541" s="9" t="s">
        <v>1334</v>
      </c>
    </row>
    <row r="542" spans="1:11" x14ac:dyDescent="0.25">
      <c r="A542" s="5">
        <v>535</v>
      </c>
      <c r="B542" s="5">
        <v>87</v>
      </c>
      <c r="C542" s="10" t="s">
        <v>353</v>
      </c>
      <c r="D542" s="7" t="s">
        <v>1855</v>
      </c>
      <c r="E542" s="8" t="str">
        <f>T("保值璽印")</f>
        <v>保值璽印</v>
      </c>
      <c r="F542" s="7" t="s">
        <v>3044</v>
      </c>
      <c r="G542" s="7" t="str">
        <f>T("百花文藝")</f>
        <v>百花文藝</v>
      </c>
      <c r="H542" s="7" t="str">
        <f>T("20100401")</f>
        <v>20100401</v>
      </c>
      <c r="I542" s="7">
        <v>32</v>
      </c>
      <c r="J542" s="7">
        <v>192</v>
      </c>
      <c r="K542" s="9" t="s">
        <v>1334</v>
      </c>
    </row>
    <row r="543" spans="1:11" x14ac:dyDescent="0.25">
      <c r="A543" s="5">
        <v>536</v>
      </c>
      <c r="B543" s="5">
        <v>88</v>
      </c>
      <c r="C543" s="10" t="s">
        <v>354</v>
      </c>
      <c r="D543" s="7" t="s">
        <v>1856</v>
      </c>
      <c r="E543" s="8" t="str">
        <f>T("奇石雅記")</f>
        <v>奇石雅記</v>
      </c>
      <c r="F543" s="7" t="s">
        <v>3045</v>
      </c>
      <c r="G543" s="7" t="str">
        <f>T("百花文藝")</f>
        <v>百花文藝</v>
      </c>
      <c r="H543" s="7" t="str">
        <f>T("20100401")</f>
        <v>20100401</v>
      </c>
      <c r="I543" s="7">
        <v>42</v>
      </c>
      <c r="J543" s="7">
        <v>252</v>
      </c>
      <c r="K543" s="9" t="s">
        <v>1334</v>
      </c>
    </row>
    <row r="544" spans="1:11" x14ac:dyDescent="0.25">
      <c r="A544" s="5">
        <v>537</v>
      </c>
      <c r="B544" s="5">
        <v>89</v>
      </c>
      <c r="C544" s="10" t="s">
        <v>97</v>
      </c>
      <c r="D544" s="7" t="s">
        <v>1857</v>
      </c>
      <c r="E544" s="8" t="str">
        <f>T("墓誌銘集-中國古代名碑名帖-(上)")</f>
        <v>墓誌銘集-中國古代名碑名帖-(上)</v>
      </c>
      <c r="F544" s="7" t="s">
        <v>3046</v>
      </c>
      <c r="G544" s="7" t="str">
        <f>T("黑美術")</f>
        <v>黑美術</v>
      </c>
      <c r="H544" s="7" t="str">
        <f>T("20100201")</f>
        <v>20100201</v>
      </c>
      <c r="I544" s="7">
        <v>25</v>
      </c>
      <c r="J544" s="7">
        <v>150</v>
      </c>
      <c r="K544" s="9" t="s">
        <v>1334</v>
      </c>
    </row>
    <row r="545" spans="1:11" x14ac:dyDescent="0.25">
      <c r="A545" s="5">
        <v>538</v>
      </c>
      <c r="B545" s="5">
        <v>90</v>
      </c>
      <c r="C545" s="10" t="s">
        <v>6</v>
      </c>
      <c r="D545" s="7" t="s">
        <v>1858</v>
      </c>
      <c r="E545" s="8" t="str">
        <f>T("祝君波談收藏")</f>
        <v>祝君波談收藏</v>
      </c>
      <c r="F545" s="7" t="s">
        <v>3047</v>
      </c>
      <c r="G545" s="7" t="str">
        <f>T("上海文藝")</f>
        <v>上海文藝</v>
      </c>
      <c r="H545" s="7" t="str">
        <f>T("20121101")</f>
        <v>20121101</v>
      </c>
      <c r="I545" s="7">
        <v>29</v>
      </c>
      <c r="J545" s="7">
        <v>174</v>
      </c>
      <c r="K545" s="9" t="s">
        <v>1334</v>
      </c>
    </row>
    <row r="546" spans="1:11" x14ac:dyDescent="0.25">
      <c r="A546" s="5">
        <v>539</v>
      </c>
      <c r="B546" s="5">
        <v>91</v>
      </c>
      <c r="C546" s="10" t="s">
        <v>37</v>
      </c>
      <c r="D546" s="7" t="s">
        <v>1859</v>
      </c>
      <c r="E546" s="8" t="str">
        <f>T("1CD--中國設計史")</f>
        <v>1CD--中國設計史</v>
      </c>
      <c r="F546" s="7" t="s">
        <v>3048</v>
      </c>
      <c r="G546" s="7" t="str">
        <f>T("上海人美")</f>
        <v>上海人美</v>
      </c>
      <c r="H546" s="7" t="str">
        <f>T("20090101")</f>
        <v>20090101</v>
      </c>
      <c r="I546" s="7">
        <v>40</v>
      </c>
      <c r="J546" s="7">
        <v>240</v>
      </c>
      <c r="K546" s="9" t="s">
        <v>1334</v>
      </c>
    </row>
    <row r="547" spans="1:11" x14ac:dyDescent="0.25">
      <c r="A547" s="5">
        <v>540</v>
      </c>
      <c r="B547" s="5">
        <v>92</v>
      </c>
      <c r="C547" s="10" t="s">
        <v>580</v>
      </c>
      <c r="D547" s="7" t="s">
        <v>1860</v>
      </c>
      <c r="E547" s="8" t="str">
        <f>T("名碑十品：故宮博物院藏文物珍品大系")</f>
        <v>名碑十品：故宮博物院藏文物珍品大系</v>
      </c>
      <c r="F547" s="7" t="s">
        <v>2959</v>
      </c>
      <c r="G547" s="7" t="str">
        <f>T("上海科技")</f>
        <v>上海科技</v>
      </c>
      <c r="H547" s="7" t="str">
        <f>T("20090901")</f>
        <v>20090901</v>
      </c>
      <c r="I547" s="7">
        <v>320</v>
      </c>
      <c r="J547" s="7">
        <v>1920</v>
      </c>
      <c r="K547" s="9" t="s">
        <v>1334</v>
      </c>
    </row>
    <row r="548" spans="1:11" x14ac:dyDescent="0.25">
      <c r="A548" s="5">
        <v>541</v>
      </c>
      <c r="B548" s="5">
        <v>93</v>
      </c>
      <c r="C548" s="10" t="s">
        <v>794</v>
      </c>
      <c r="D548" s="7" t="s">
        <v>1861</v>
      </c>
      <c r="E548" s="8" t="str">
        <f>T("天一閣明州碑林集錄")</f>
        <v>天一閣明州碑林集錄</v>
      </c>
      <c r="F548" s="7" t="s">
        <v>3049</v>
      </c>
      <c r="G548" s="7" t="str">
        <f>T("上海古籍")</f>
        <v>上海古籍</v>
      </c>
      <c r="H548" s="7" t="str">
        <f>T("20080401")</f>
        <v>20080401</v>
      </c>
      <c r="I548" s="7">
        <v>65</v>
      </c>
      <c r="J548" s="7">
        <v>390</v>
      </c>
      <c r="K548" s="9" t="s">
        <v>1334</v>
      </c>
    </row>
    <row r="549" spans="1:11" x14ac:dyDescent="0.25">
      <c r="A549" s="5">
        <v>542</v>
      </c>
      <c r="B549" s="5">
        <v>94</v>
      </c>
      <c r="C549" s="10" t="s">
        <v>803</v>
      </c>
      <c r="D549" s="7" t="s">
        <v>1862</v>
      </c>
      <c r="E549" s="8" t="str">
        <f>T("蘭亭序印譜")</f>
        <v>蘭亭序印譜</v>
      </c>
      <c r="F549" s="7" t="s">
        <v>3050</v>
      </c>
      <c r="G549" s="7" t="str">
        <f>T("上海古籍")</f>
        <v>上海古籍</v>
      </c>
      <c r="H549" s="7" t="str">
        <f>T("20101001")</f>
        <v>20101001</v>
      </c>
      <c r="I549" s="7">
        <v>58</v>
      </c>
      <c r="J549" s="7">
        <v>348</v>
      </c>
      <c r="K549" s="9" t="s">
        <v>1334</v>
      </c>
    </row>
    <row r="550" spans="1:11" x14ac:dyDescent="0.25">
      <c r="A550" s="5">
        <v>543</v>
      </c>
      <c r="B550" s="5">
        <v>95</v>
      </c>
      <c r="C550" s="10" t="s">
        <v>805</v>
      </c>
      <c r="D550" s="7" t="s">
        <v>1863</v>
      </c>
      <c r="E550" s="8" t="str">
        <f>T("雅玩門")</f>
        <v>雅玩門</v>
      </c>
      <c r="F550" s="7" t="s">
        <v>3051</v>
      </c>
      <c r="G550" s="7" t="str">
        <f>T("上海辭書")</f>
        <v>上海辭書</v>
      </c>
      <c r="H550" s="7" t="str">
        <f>T("20100401")</f>
        <v>20100401</v>
      </c>
      <c r="I550" s="7">
        <v>38</v>
      </c>
      <c r="J550" s="7">
        <v>228</v>
      </c>
      <c r="K550" s="9" t="s">
        <v>1334</v>
      </c>
    </row>
    <row r="551" spans="1:11" x14ac:dyDescent="0.25">
      <c r="A551" s="5">
        <v>544</v>
      </c>
      <c r="B551" s="5">
        <v>96</v>
      </c>
      <c r="C551" s="10" t="s">
        <v>811</v>
      </c>
      <c r="D551" s="7" t="s">
        <v>1864</v>
      </c>
      <c r="E551" s="8" t="str">
        <f>T("實用文玩收藏指南：奇石")</f>
        <v>實用文玩收藏指南：奇石</v>
      </c>
      <c r="F551" s="7" t="s">
        <v>3052</v>
      </c>
      <c r="G551" s="7" t="str">
        <f>T("山東美術")</f>
        <v>山東美術</v>
      </c>
      <c r="H551" s="7" t="str">
        <f>T("")</f>
        <v/>
      </c>
      <c r="I551" s="7">
        <v>58</v>
      </c>
      <c r="J551" s="7">
        <v>348</v>
      </c>
      <c r="K551" s="9" t="s">
        <v>1334</v>
      </c>
    </row>
    <row r="552" spans="1:11" x14ac:dyDescent="0.25">
      <c r="A552" s="5">
        <v>545</v>
      </c>
      <c r="B552" s="5">
        <v>97</v>
      </c>
      <c r="C552" s="10" t="s">
        <v>812</v>
      </c>
      <c r="D552" s="7" t="s">
        <v>1865</v>
      </c>
      <c r="E552" s="8" t="str">
        <f>T("實用文玩收藏指南：銅鏡")</f>
        <v>實用文玩收藏指南：銅鏡</v>
      </c>
      <c r="F552" s="7" t="s">
        <v>1312</v>
      </c>
      <c r="G552" s="7" t="str">
        <f>T("山東美術")</f>
        <v>山東美術</v>
      </c>
      <c r="H552" s="7" t="str">
        <f>T("")</f>
        <v/>
      </c>
      <c r="I552" s="7">
        <v>58</v>
      </c>
      <c r="J552" s="7">
        <v>348</v>
      </c>
      <c r="K552" s="9" t="s">
        <v>1334</v>
      </c>
    </row>
    <row r="553" spans="1:11" x14ac:dyDescent="0.25">
      <c r="A553" s="5">
        <v>546</v>
      </c>
      <c r="B553" s="5">
        <v>98</v>
      </c>
      <c r="C553" s="10" t="s">
        <v>611</v>
      </c>
      <c r="D553" s="7" t="s">
        <v>1866</v>
      </c>
      <c r="E553" s="8" t="str">
        <f>T("藝術學導論")</f>
        <v>藝術學導論</v>
      </c>
      <c r="F553" s="7" t="s">
        <v>3053</v>
      </c>
      <c r="G553" s="7" t="str">
        <f>T("齊魯書社")</f>
        <v>齊魯書社</v>
      </c>
      <c r="H553" s="7" t="str">
        <f>T("20100401")</f>
        <v>20100401</v>
      </c>
      <c r="I553" s="7">
        <v>26</v>
      </c>
      <c r="J553" s="7">
        <v>156</v>
      </c>
      <c r="K553" s="9" t="s">
        <v>1334</v>
      </c>
    </row>
    <row r="554" spans="1:11" x14ac:dyDescent="0.25">
      <c r="A554" s="5">
        <v>547</v>
      </c>
      <c r="B554" s="5">
        <v>99</v>
      </c>
      <c r="C554" s="10" t="s">
        <v>631</v>
      </c>
      <c r="D554" s="7" t="s">
        <v>1867</v>
      </c>
      <c r="E554" s="8" t="str">
        <f>T("蘭花新品精品")</f>
        <v>蘭花新品精品</v>
      </c>
      <c r="F554" s="7" t="s">
        <v>3054</v>
      </c>
      <c r="G554" s="7" t="str">
        <f>T("福建科技")</f>
        <v>福建科技</v>
      </c>
      <c r="H554" s="7" t="str">
        <f>T("20021001")</f>
        <v>20021001</v>
      </c>
      <c r="I554" s="7">
        <v>38</v>
      </c>
      <c r="J554" s="7">
        <v>228</v>
      </c>
      <c r="K554" s="9" t="s">
        <v>1334</v>
      </c>
    </row>
    <row r="555" spans="1:11" x14ac:dyDescent="0.25">
      <c r="A555" s="5">
        <v>548</v>
      </c>
      <c r="B555" s="5">
        <v>100</v>
      </c>
      <c r="C555" s="10" t="s">
        <v>637</v>
      </c>
      <c r="D555" s="7" t="s">
        <v>1868</v>
      </c>
      <c r="E555" s="8" t="str">
        <f>T("尋根寄語:名家墨寶　")</f>
        <v>尋根寄語:名家墨寶　</v>
      </c>
      <c r="F555" s="7" t="s">
        <v>3055</v>
      </c>
      <c r="G555" s="7" t="str">
        <f>T("大象")</f>
        <v>大象</v>
      </c>
      <c r="H555" s="7" t="str">
        <f>T("20080401")</f>
        <v>20080401</v>
      </c>
      <c r="I555" s="7">
        <v>60</v>
      </c>
      <c r="J555" s="7">
        <v>360</v>
      </c>
      <c r="K555" s="9" t="s">
        <v>1334</v>
      </c>
    </row>
    <row r="556" spans="1:11" x14ac:dyDescent="0.25">
      <c r="A556" s="5">
        <v>549</v>
      </c>
      <c r="B556" s="5">
        <v>101</v>
      </c>
      <c r="C556" s="10" t="s">
        <v>405</v>
      </c>
      <c r="D556" s="7" t="s">
        <v>1869</v>
      </c>
      <c r="E556" s="8" t="str">
        <f>T("中國古代跳舞史")</f>
        <v>中國古代跳舞史</v>
      </c>
      <c r="F556" s="7" t="s">
        <v>3056</v>
      </c>
      <c r="G556" s="7" t="str">
        <f>T("大象")</f>
        <v>大象</v>
      </c>
      <c r="H556" s="7" t="str">
        <f>T("20100401")</f>
        <v>20100401</v>
      </c>
      <c r="I556" s="7">
        <v>9.5</v>
      </c>
      <c r="J556" s="7">
        <v>57</v>
      </c>
      <c r="K556" s="9" t="s">
        <v>1334</v>
      </c>
    </row>
    <row r="557" spans="1:11" x14ac:dyDescent="0.25">
      <c r="A557" s="5">
        <v>550</v>
      </c>
      <c r="B557" s="5">
        <v>102</v>
      </c>
      <c r="C557" s="10" t="s">
        <v>406</v>
      </c>
      <c r="D557" s="7" t="s">
        <v>1870</v>
      </c>
      <c r="E557" s="8" t="str">
        <f>T("中國書畫史會要")</f>
        <v>中國書畫史會要</v>
      </c>
      <c r="F557" s="7" t="s">
        <v>3057</v>
      </c>
      <c r="G557" s="7" t="str">
        <f>T("中州古籍")</f>
        <v>中州古籍</v>
      </c>
      <c r="H557" s="7" t="str">
        <f>T("20100301")</f>
        <v>20100301</v>
      </c>
      <c r="I557" s="7">
        <v>100</v>
      </c>
      <c r="J557" s="7">
        <v>600</v>
      </c>
      <c r="K557" s="9" t="s">
        <v>1334</v>
      </c>
    </row>
    <row r="558" spans="1:11" x14ac:dyDescent="0.25">
      <c r="A558" s="5">
        <v>551</v>
      </c>
      <c r="B558" s="5">
        <v>103</v>
      </c>
      <c r="C558" s="10" t="s">
        <v>659</v>
      </c>
      <c r="D558" s="7" t="s">
        <v>1871</v>
      </c>
      <c r="E558" s="8" t="str">
        <f>T("餘震：英國當代藝術展1990～2006")</f>
        <v>餘震：英國當代藝術展1990～2006</v>
      </c>
      <c r="F558" s="7" t="s">
        <v>2616</v>
      </c>
      <c r="G558" s="7" t="str">
        <f>T("湖南美術")</f>
        <v>湖南美術</v>
      </c>
      <c r="H558" s="7" t="str">
        <f>T("20070301")</f>
        <v>20070301</v>
      </c>
      <c r="I558" s="7">
        <v>80</v>
      </c>
      <c r="J558" s="7">
        <v>480</v>
      </c>
      <c r="K558" s="9" t="s">
        <v>1334</v>
      </c>
    </row>
    <row r="559" spans="1:11" x14ac:dyDescent="0.25">
      <c r="A559" s="5">
        <v>552</v>
      </c>
      <c r="B559" s="5">
        <v>104</v>
      </c>
      <c r="C559" s="10" t="s">
        <v>660</v>
      </c>
      <c r="D559" s="7" t="s">
        <v>1872</v>
      </c>
      <c r="E559" s="8" t="str">
        <f>T("橋隆飆連環畫收藏本(全套6冊)")</f>
        <v>橋隆飆連環畫收藏本(全套6冊)</v>
      </c>
      <c r="F559" s="7" t="s">
        <v>3058</v>
      </c>
      <c r="G559" s="7" t="str">
        <f>T("湖南美術")</f>
        <v>湖南美術</v>
      </c>
      <c r="H559" s="7" t="str">
        <f>T("20091001")</f>
        <v>20091001</v>
      </c>
      <c r="I559" s="7">
        <v>58</v>
      </c>
      <c r="J559" s="7">
        <v>348</v>
      </c>
      <c r="K559" s="9" t="s">
        <v>1334</v>
      </c>
    </row>
    <row r="560" spans="1:11" ht="28.5" x14ac:dyDescent="0.25">
      <c r="A560" s="5">
        <v>553</v>
      </c>
      <c r="B560" s="5">
        <v>105</v>
      </c>
      <c r="C560" s="10" t="s">
        <v>663</v>
      </c>
      <c r="D560" s="7" t="s">
        <v>1873</v>
      </c>
      <c r="E560" s="8" t="str">
        <f>T("人文之聲 : 何香凝美術館學術講座集粹(上下冊)")</f>
        <v>人文之聲 : 何香凝美術館學術講座集粹(上下冊)</v>
      </c>
      <c r="F560" s="7" t="s">
        <v>3059</v>
      </c>
      <c r="G560" s="7" t="str">
        <f>T("嶺南美術")</f>
        <v>嶺南美術</v>
      </c>
      <c r="H560" s="7" t="str">
        <f>T("20081001")</f>
        <v>20081001</v>
      </c>
      <c r="I560" s="7">
        <v>120</v>
      </c>
      <c r="J560" s="7">
        <v>720</v>
      </c>
      <c r="K560" s="9" t="s">
        <v>1334</v>
      </c>
    </row>
    <row r="561" spans="1:11" x14ac:dyDescent="0.25">
      <c r="A561" s="5">
        <v>554</v>
      </c>
      <c r="B561" s="5">
        <v>106</v>
      </c>
      <c r="C561" s="10" t="s">
        <v>664</v>
      </c>
      <c r="D561" s="7" t="s">
        <v>1874</v>
      </c>
      <c r="E561" s="8" t="str">
        <f>T("非洲藝術書系--埃及 (7)")</f>
        <v>非洲藝術書系--埃及 (7)</v>
      </c>
      <c r="F561" s="7" t="s">
        <v>3060</v>
      </c>
      <c r="G561" s="7" t="str">
        <f>T("重慶")</f>
        <v>重慶</v>
      </c>
      <c r="H561" s="7" t="str">
        <f>T("20000701")</f>
        <v>20000701</v>
      </c>
      <c r="I561" s="7">
        <v>45</v>
      </c>
      <c r="J561" s="7">
        <v>270</v>
      </c>
      <c r="K561" s="9" t="s">
        <v>1334</v>
      </c>
    </row>
    <row r="562" spans="1:11" x14ac:dyDescent="0.25">
      <c r="A562" s="5">
        <v>555</v>
      </c>
      <c r="B562" s="5">
        <v>107</v>
      </c>
      <c r="C562" s="10" t="s">
        <v>671</v>
      </c>
      <c r="D562" s="7" t="s">
        <v>1875</v>
      </c>
      <c r="E562" s="8" t="str">
        <f>T("中國古代文化全閱讀 第一輯23：硯箋")</f>
        <v>中國古代文化全閱讀 第一輯23：硯箋</v>
      </c>
      <c r="F562" s="7" t="s">
        <v>3061</v>
      </c>
      <c r="G562" s="7" t="str">
        <f>T("時代文藝")</f>
        <v>時代文藝</v>
      </c>
      <c r="H562" s="7" t="str">
        <f>T("20080701")</f>
        <v>20080701</v>
      </c>
      <c r="I562" s="7">
        <v>15</v>
      </c>
      <c r="J562" s="7">
        <v>90</v>
      </c>
      <c r="K562" s="9" t="s">
        <v>1334</v>
      </c>
    </row>
    <row r="563" spans="1:11" x14ac:dyDescent="0.25">
      <c r="A563" s="5">
        <v>556</v>
      </c>
      <c r="B563" s="5">
        <v>108</v>
      </c>
      <c r="C563" s="10" t="s">
        <v>674</v>
      </c>
      <c r="D563" s="7" t="s">
        <v>1876</v>
      </c>
      <c r="E563" s="8" t="str">
        <f>T("清代卷-中國歷代繪畫理論評注-下")</f>
        <v>清代卷-中國歷代繪畫理論評注-下</v>
      </c>
      <c r="F563" s="7" t="s">
        <v>3062</v>
      </c>
      <c r="G563" s="7" t="str">
        <f>T("湖北美術")</f>
        <v>湖北美術</v>
      </c>
      <c r="H563" s="7" t="str">
        <f>T("20091201")</f>
        <v>20091201</v>
      </c>
      <c r="I563" s="7">
        <v>30</v>
      </c>
      <c r="J563" s="7">
        <v>180</v>
      </c>
      <c r="K563" s="9" t="s">
        <v>1334</v>
      </c>
    </row>
    <row r="564" spans="1:11" x14ac:dyDescent="0.25">
      <c r="A564" s="5">
        <v>557</v>
      </c>
      <c r="B564" s="5">
        <v>109</v>
      </c>
      <c r="C564" s="10" t="s">
        <v>676</v>
      </c>
      <c r="D564" s="7" t="s">
        <v>1877</v>
      </c>
      <c r="E564" s="8" t="str">
        <f>T("超酷版時尚蒙紙描畫：靚裝新娘")</f>
        <v>超酷版時尚蒙紙描畫：靚裝新娘</v>
      </c>
      <c r="F564" s="7" t="s">
        <v>2616</v>
      </c>
      <c r="G564" s="7" t="str">
        <f>T("安徽少兒")</f>
        <v>安徽少兒</v>
      </c>
      <c r="H564" s="7" t="str">
        <f>T("20071001")</f>
        <v>20071001</v>
      </c>
      <c r="I564" s="7">
        <v>8.5</v>
      </c>
      <c r="J564" s="7">
        <v>51</v>
      </c>
      <c r="K564" s="9" t="s">
        <v>1334</v>
      </c>
    </row>
    <row r="565" spans="1:11" x14ac:dyDescent="0.25">
      <c r="A565" s="5">
        <v>558</v>
      </c>
      <c r="B565" s="5">
        <v>110</v>
      </c>
      <c r="C565" s="10" t="s">
        <v>683</v>
      </c>
      <c r="D565" s="7" t="s">
        <v>1878</v>
      </c>
      <c r="E565" s="8" t="str">
        <f>T("明瓚-品墨")</f>
        <v>明瓚-品墨</v>
      </c>
      <c r="F565" s="7" t="s">
        <v>3063</v>
      </c>
      <c r="G565" s="7" t="str">
        <f>T("河南美術")</f>
        <v>河南美術</v>
      </c>
      <c r="H565" s="7" t="str">
        <f>T("20100701")</f>
        <v>20100701</v>
      </c>
      <c r="I565" s="7">
        <v>58</v>
      </c>
      <c r="J565" s="7">
        <v>348</v>
      </c>
      <c r="K565" s="9" t="s">
        <v>1334</v>
      </c>
    </row>
    <row r="566" spans="1:11" ht="28.5" x14ac:dyDescent="0.25">
      <c r="A566" s="5">
        <v>559</v>
      </c>
      <c r="B566" s="5">
        <v>111</v>
      </c>
      <c r="C566" s="10" t="s">
        <v>695</v>
      </c>
      <c r="D566" s="7" t="s">
        <v>1879</v>
      </c>
      <c r="E566" s="8" t="str">
        <f>T("角色:設計.以教育的名義_中央美院設計學院課堂教學典")</f>
        <v>角色:設計.以教育的名義_中央美院設計學院課堂教學典</v>
      </c>
      <c r="F566" s="7" t="s">
        <v>1962</v>
      </c>
      <c r="G566" s="7" t="str">
        <f t="shared" ref="G566:G571" si="28">T("四川美術")</f>
        <v>四川美術</v>
      </c>
      <c r="H566" s="7" t="str">
        <f>T("")</f>
        <v/>
      </c>
      <c r="I566" s="7">
        <v>55</v>
      </c>
      <c r="J566" s="7">
        <v>330</v>
      </c>
      <c r="K566" s="9" t="s">
        <v>1334</v>
      </c>
    </row>
    <row r="567" spans="1:11" x14ac:dyDescent="0.25">
      <c r="A567" s="5">
        <v>560</v>
      </c>
      <c r="B567" s="5">
        <v>112</v>
      </c>
      <c r="C567" s="10" t="s">
        <v>696</v>
      </c>
      <c r="D567" s="7" t="s">
        <v>1880</v>
      </c>
      <c r="E567" s="8" t="str">
        <f>T("國畫指要")</f>
        <v>國畫指要</v>
      </c>
      <c r="F567" s="7" t="s">
        <v>3064</v>
      </c>
      <c r="G567" s="7" t="str">
        <f t="shared" si="28"/>
        <v>四川美術</v>
      </c>
      <c r="H567" s="7" t="str">
        <f>T("20060101")</f>
        <v>20060101</v>
      </c>
      <c r="I567" s="7">
        <v>29</v>
      </c>
      <c r="J567" s="7">
        <v>174</v>
      </c>
      <c r="K567" s="9" t="s">
        <v>1334</v>
      </c>
    </row>
    <row r="568" spans="1:11" x14ac:dyDescent="0.25">
      <c r="A568" s="5">
        <v>561</v>
      </c>
      <c r="B568" s="5">
        <v>113</v>
      </c>
      <c r="C568" s="10" t="s">
        <v>697</v>
      </c>
      <c r="D568" s="7" t="s">
        <v>1881</v>
      </c>
      <c r="E568" s="8" t="str">
        <f>T("國畫教學")</f>
        <v>國畫教學</v>
      </c>
      <c r="F568" s="7" t="s">
        <v>3065</v>
      </c>
      <c r="G568" s="7" t="str">
        <f t="shared" si="28"/>
        <v>四川美術</v>
      </c>
      <c r="H568" s="7" t="str">
        <f>T("20060401")</f>
        <v>20060401</v>
      </c>
      <c r="I568" s="7">
        <v>48</v>
      </c>
      <c r="J568" s="7">
        <v>288</v>
      </c>
      <c r="K568" s="9" t="s">
        <v>1334</v>
      </c>
    </row>
    <row r="569" spans="1:11" x14ac:dyDescent="0.25">
      <c r="A569" s="5">
        <v>562</v>
      </c>
      <c r="B569" s="5">
        <v>114</v>
      </c>
      <c r="C569" s="10" t="s">
        <v>699</v>
      </c>
      <c r="D569" s="7" t="s">
        <v>1882</v>
      </c>
      <c r="E569" s="8" t="str">
        <f>T("國畫演進")</f>
        <v>國畫演進</v>
      </c>
      <c r="F569" s="7" t="s">
        <v>3066</v>
      </c>
      <c r="G569" s="7" t="str">
        <f t="shared" si="28"/>
        <v>四川美術</v>
      </c>
      <c r="H569" s="7" t="str">
        <f>T("20061001")</f>
        <v>20061001</v>
      </c>
      <c r="I569" s="7">
        <v>35</v>
      </c>
      <c r="J569" s="7">
        <v>210</v>
      </c>
      <c r="K569" s="9" t="s">
        <v>1334</v>
      </c>
    </row>
    <row r="570" spans="1:11" x14ac:dyDescent="0.25">
      <c r="A570" s="5">
        <v>563</v>
      </c>
      <c r="B570" s="5">
        <v>115</v>
      </c>
      <c r="C570" s="10" t="s">
        <v>700</v>
      </c>
      <c r="D570" s="7" t="s">
        <v>1883</v>
      </c>
      <c r="E570" s="8" t="str">
        <f>T("畫裏畫外")</f>
        <v>畫裏畫外</v>
      </c>
      <c r="F570" s="7" t="s">
        <v>3067</v>
      </c>
      <c r="G570" s="7" t="str">
        <f t="shared" si="28"/>
        <v>四川美術</v>
      </c>
      <c r="H570" s="7" t="str">
        <f>T("20061001")</f>
        <v>20061001</v>
      </c>
      <c r="I570" s="7">
        <v>35</v>
      </c>
      <c r="J570" s="7">
        <v>210</v>
      </c>
      <c r="K570" s="9" t="s">
        <v>1334</v>
      </c>
    </row>
    <row r="571" spans="1:11" x14ac:dyDescent="0.25">
      <c r="A571" s="5">
        <v>564</v>
      </c>
      <c r="B571" s="5">
        <v>116</v>
      </c>
      <c r="C571" s="10" t="s">
        <v>701</v>
      </c>
      <c r="D571" s="7" t="s">
        <v>1884</v>
      </c>
      <c r="E571" s="8" t="str">
        <f>T("大豐談藝")</f>
        <v>大豐談藝</v>
      </c>
      <c r="F571" s="7" t="s">
        <v>3068</v>
      </c>
      <c r="G571" s="7" t="str">
        <f t="shared" si="28"/>
        <v>四川美術</v>
      </c>
      <c r="H571" s="7" t="str">
        <f>T("20061001")</f>
        <v>20061001</v>
      </c>
      <c r="I571" s="7">
        <v>37</v>
      </c>
      <c r="J571" s="7">
        <v>222</v>
      </c>
      <c r="K571" s="9" t="s">
        <v>1334</v>
      </c>
    </row>
    <row r="572" spans="1:11" x14ac:dyDescent="0.25">
      <c r="A572" s="5">
        <v>565</v>
      </c>
      <c r="B572" s="5">
        <v>117</v>
      </c>
      <c r="C572" s="10" t="s">
        <v>702</v>
      </c>
      <c r="D572" s="7" t="s">
        <v>1885</v>
      </c>
      <c r="E572" s="8" t="str">
        <f>T("琴鍵的芭蕾-鋼琴")</f>
        <v>琴鍵的芭蕾-鋼琴</v>
      </c>
      <c r="F572" s="7" t="s">
        <v>3069</v>
      </c>
      <c r="G572" s="7" t="str">
        <f>T("四川文藝")</f>
        <v>四川文藝</v>
      </c>
      <c r="H572" s="7" t="str">
        <f>T("20040101")</f>
        <v>20040101</v>
      </c>
      <c r="I572" s="7">
        <v>28</v>
      </c>
      <c r="J572" s="7">
        <v>168</v>
      </c>
      <c r="K572" s="9" t="s">
        <v>1334</v>
      </c>
    </row>
    <row r="573" spans="1:11" x14ac:dyDescent="0.25">
      <c r="A573" s="5">
        <v>566</v>
      </c>
      <c r="B573" s="5">
        <v>118</v>
      </c>
      <c r="C573" s="10" t="s">
        <v>704</v>
      </c>
      <c r="D573" s="7" t="s">
        <v>1886</v>
      </c>
      <c r="E573" s="8" t="str">
        <f>T("叢書(10)-雅舍小物")</f>
        <v>叢書(10)-雅舍小物</v>
      </c>
      <c r="F573" s="7" t="s">
        <v>3070</v>
      </c>
      <c r="G573" s="7" t="str">
        <f>T("陝西旅遊")</f>
        <v>陝西旅遊</v>
      </c>
      <c r="H573" s="7" t="str">
        <f>T("")</f>
        <v/>
      </c>
      <c r="I573" s="7">
        <v>24.8</v>
      </c>
      <c r="J573" s="7">
        <v>149</v>
      </c>
      <c r="K573" s="9" t="s">
        <v>1334</v>
      </c>
    </row>
    <row r="574" spans="1:11" x14ac:dyDescent="0.25">
      <c r="A574" s="5">
        <v>567</v>
      </c>
      <c r="B574" s="5">
        <v>119</v>
      </c>
      <c r="C574" s="10" t="s">
        <v>705</v>
      </c>
      <c r="D574" s="7" t="s">
        <v>1886</v>
      </c>
      <c r="E574" s="8" t="str">
        <f>T("叢書(4)-壁飾小品")</f>
        <v>叢書(4)-壁飾小品</v>
      </c>
      <c r="F574" s="7" t="s">
        <v>3070</v>
      </c>
      <c r="G574" s="7" t="str">
        <f>T("陝西旅遊")</f>
        <v>陝西旅遊</v>
      </c>
      <c r="H574" s="7" t="str">
        <f>T("")</f>
        <v/>
      </c>
      <c r="I574" s="7">
        <v>24.8</v>
      </c>
      <c r="J574" s="7">
        <v>149</v>
      </c>
      <c r="K574" s="9" t="s">
        <v>1334</v>
      </c>
    </row>
    <row r="575" spans="1:11" x14ac:dyDescent="0.25">
      <c r="A575" s="5">
        <v>568</v>
      </c>
      <c r="B575" s="5">
        <v>120</v>
      </c>
      <c r="C575" s="10" t="s">
        <v>707</v>
      </c>
      <c r="D575" s="7" t="s">
        <v>1887</v>
      </c>
      <c r="E575" s="8" t="str">
        <f>T("風雅文房")</f>
        <v>風雅文房</v>
      </c>
      <c r="F575" s="7" t="s">
        <v>3071</v>
      </c>
      <c r="G575" s="7" t="str">
        <f>T("上海三聯")</f>
        <v>上海三聯</v>
      </c>
      <c r="H575" s="7" t="str">
        <f>T("20100701")</f>
        <v>20100701</v>
      </c>
      <c r="I575" s="7">
        <v>68</v>
      </c>
      <c r="J575" s="7">
        <v>408</v>
      </c>
      <c r="K575" s="9" t="s">
        <v>1334</v>
      </c>
    </row>
    <row r="576" spans="1:11" ht="28.5" x14ac:dyDescent="0.25">
      <c r="A576" s="5">
        <v>569</v>
      </c>
      <c r="B576" s="5">
        <v>121</v>
      </c>
      <c r="C576" s="10" t="s">
        <v>827</v>
      </c>
      <c r="D576" s="7" t="s">
        <v>1888</v>
      </c>
      <c r="E576" s="8" t="str">
        <f>T("中國書畫家經典作品集_曾鯨-嚴用晦像長卷考評")</f>
        <v>中國書畫家經典作品集_曾鯨-嚴用晦像長卷考評</v>
      </c>
      <c r="F576" s="7" t="s">
        <v>3072</v>
      </c>
      <c r="G576" s="7" t="str">
        <f>T("河北教育")</f>
        <v>河北教育</v>
      </c>
      <c r="H576" s="7" t="str">
        <f>T("")</f>
        <v/>
      </c>
      <c r="I576" s="7">
        <v>128</v>
      </c>
      <c r="J576" s="7">
        <v>768</v>
      </c>
      <c r="K576" s="9" t="s">
        <v>1334</v>
      </c>
    </row>
    <row r="577" spans="1:11" x14ac:dyDescent="0.25">
      <c r="A577" s="5">
        <v>570</v>
      </c>
      <c r="B577" s="5">
        <v>122</v>
      </c>
      <c r="C577" s="10" t="s">
        <v>828</v>
      </c>
      <c r="D577" s="7" t="s">
        <v>1889</v>
      </c>
      <c r="E577" s="8" t="str">
        <f>T("行已之道_收藏界最關注的中-國畫家.王鏞")</f>
        <v>行已之道_收藏界最關注的中-國畫家.王鏞</v>
      </c>
      <c r="F577" s="7" t="s">
        <v>3073</v>
      </c>
      <c r="G577" s="7" t="str">
        <f>T("河北教育")</f>
        <v>河北教育</v>
      </c>
      <c r="H577" s="7" t="str">
        <f>T("")</f>
        <v/>
      </c>
      <c r="I577" s="7">
        <v>58</v>
      </c>
      <c r="J577" s="7">
        <v>348</v>
      </c>
      <c r="K577" s="9" t="s">
        <v>1334</v>
      </c>
    </row>
    <row r="578" spans="1:11" x14ac:dyDescent="0.25">
      <c r="A578" s="5">
        <v>571</v>
      </c>
      <c r="B578" s="5">
        <v>123</v>
      </c>
      <c r="C578" s="10" t="s">
        <v>511</v>
      </c>
      <c r="D578" s="7" t="s">
        <v>1890</v>
      </c>
      <c r="E578" s="8" t="str">
        <f>T("最美的還是我們新疆")</f>
        <v>最美的還是我們新疆</v>
      </c>
      <c r="F578" s="7" t="s">
        <v>1962</v>
      </c>
      <c r="G578" s="7" t="str">
        <f>T("新疆美攝")</f>
        <v>新疆美攝</v>
      </c>
      <c r="H578" s="7" t="str">
        <f>T("20080201")</f>
        <v>20080201</v>
      </c>
      <c r="I578" s="7">
        <v>380</v>
      </c>
      <c r="J578" s="7">
        <v>2280</v>
      </c>
      <c r="K578" s="9" t="s">
        <v>1334</v>
      </c>
    </row>
    <row r="579" spans="1:11" x14ac:dyDescent="0.25">
      <c r="A579" s="5">
        <v>572</v>
      </c>
      <c r="B579" s="5">
        <v>124</v>
      </c>
      <c r="C579" s="10" t="s">
        <v>514</v>
      </c>
      <c r="D579" s="7" t="s">
        <v>1891</v>
      </c>
      <c r="E579" s="8" t="str">
        <f>T("它山之石")</f>
        <v>它山之石</v>
      </c>
      <c r="F579" s="7" t="s">
        <v>1962</v>
      </c>
      <c r="G579" s="7" t="str">
        <f>T("新疆美攝")</f>
        <v>新疆美攝</v>
      </c>
      <c r="H579" s="7" t="str">
        <f>T("20080201")</f>
        <v>20080201</v>
      </c>
      <c r="I579" s="7">
        <v>98</v>
      </c>
      <c r="J579" s="7">
        <v>588</v>
      </c>
      <c r="K579" s="9" t="s">
        <v>1334</v>
      </c>
    </row>
    <row r="580" spans="1:11" x14ac:dyDescent="0.25">
      <c r="A580" s="5">
        <v>573</v>
      </c>
      <c r="B580" s="5">
        <v>125</v>
      </c>
      <c r="C580" s="10" t="s">
        <v>529</v>
      </c>
      <c r="D580" s="7" t="s">
        <v>1892</v>
      </c>
      <c r="E580" s="8" t="str">
        <f>T("新疆美術大系-新疆農民畫卷")</f>
        <v>新疆美術大系-新疆農民畫卷</v>
      </c>
      <c r="F580" s="7" t="s">
        <v>1962</v>
      </c>
      <c r="G580" s="7" t="str">
        <f>T("新疆美攝")</f>
        <v>新疆美攝</v>
      </c>
      <c r="H580" s="7" t="str">
        <f>T("20080201")</f>
        <v>20080201</v>
      </c>
      <c r="I580" s="7">
        <v>750</v>
      </c>
      <c r="J580" s="7">
        <v>4500</v>
      </c>
      <c r="K580" s="9" t="s">
        <v>1334</v>
      </c>
    </row>
    <row r="581" spans="1:11" x14ac:dyDescent="0.25">
      <c r="A581" s="5">
        <v>574</v>
      </c>
      <c r="B581" s="5">
        <v>126</v>
      </c>
      <c r="C581" s="10" t="s">
        <v>530</v>
      </c>
      <c r="D581" s="7" t="s">
        <v>1893</v>
      </c>
      <c r="E581" s="8" t="str">
        <f>T("新疆美術大系-新疆書法篆刻卷")</f>
        <v>新疆美術大系-新疆書法篆刻卷</v>
      </c>
      <c r="F581" s="7" t="s">
        <v>1962</v>
      </c>
      <c r="G581" s="7" t="str">
        <f>T("新疆美攝")</f>
        <v>新疆美攝</v>
      </c>
      <c r="H581" s="7" t="str">
        <f>T("20080201")</f>
        <v>20080201</v>
      </c>
      <c r="I581" s="7">
        <v>750</v>
      </c>
      <c r="J581" s="7">
        <v>4500</v>
      </c>
      <c r="K581" s="9" t="s">
        <v>1334</v>
      </c>
    </row>
    <row r="582" spans="1:11" x14ac:dyDescent="0.25">
      <c r="A582" s="5">
        <v>575</v>
      </c>
      <c r="B582" s="5">
        <v>127</v>
      </c>
      <c r="C582" s="10" t="s">
        <v>902</v>
      </c>
      <c r="D582" s="7" t="s">
        <v>1894</v>
      </c>
      <c r="E582" s="8" t="str">
        <f>T("紀念辛亥百年名家書法集(1911-2011)")</f>
        <v>紀念辛亥百年名家書法集(1911-2011)</v>
      </c>
      <c r="F582" s="7" t="s">
        <v>1962</v>
      </c>
      <c r="G582" s="7" t="str">
        <f>T("東方")</f>
        <v>東方</v>
      </c>
      <c r="H582" s="7" t="str">
        <f>T("20110901")</f>
        <v>20110901</v>
      </c>
      <c r="I582" s="7">
        <v>180</v>
      </c>
      <c r="J582" s="7">
        <v>1300</v>
      </c>
      <c r="K582" s="9" t="s">
        <v>1334</v>
      </c>
    </row>
    <row r="583" spans="1:11" x14ac:dyDescent="0.25">
      <c r="A583" s="5">
        <v>576</v>
      </c>
      <c r="B583" s="5">
        <v>128</v>
      </c>
      <c r="C583" s="10" t="s">
        <v>912</v>
      </c>
      <c r="D583" s="7" t="s">
        <v>1895</v>
      </c>
      <c r="E583" s="8" t="str">
        <f>T("齊魯藏石經典（精裝）")</f>
        <v>齊魯藏石經典（精裝）</v>
      </c>
      <c r="F583" s="7" t="s">
        <v>3074</v>
      </c>
      <c r="G583" s="7" t="str">
        <f>T("濟南")</f>
        <v>濟南</v>
      </c>
      <c r="H583" s="7" t="str">
        <f>T("20110901")</f>
        <v>20110901</v>
      </c>
      <c r="I583" s="7">
        <v>298</v>
      </c>
      <c r="J583" s="7">
        <v>1788</v>
      </c>
      <c r="K583" s="9" t="s">
        <v>1334</v>
      </c>
    </row>
    <row r="584" spans="1:11" x14ac:dyDescent="0.25">
      <c r="A584" s="5">
        <v>577</v>
      </c>
      <c r="B584" s="5">
        <v>129</v>
      </c>
      <c r="C584" s="10" t="s">
        <v>917</v>
      </c>
      <c r="D584" s="7" t="s">
        <v>1896</v>
      </c>
      <c r="E584" s="8" t="str">
        <f>T("新理想空間3_同濟規劃設計年鑒")</f>
        <v>新理想空間3_同濟規劃設計年鑒</v>
      </c>
      <c r="F584" s="7" t="s">
        <v>1962</v>
      </c>
      <c r="G584" s="7" t="str">
        <f>T("同濟大學")</f>
        <v>同濟大學</v>
      </c>
      <c r="H584" s="7" t="str">
        <f>T("")</f>
        <v/>
      </c>
      <c r="I584" s="7">
        <v>268</v>
      </c>
      <c r="J584" s="7">
        <v>1608</v>
      </c>
      <c r="K584" s="9" t="s">
        <v>1334</v>
      </c>
    </row>
    <row r="585" spans="1:11" x14ac:dyDescent="0.25">
      <c r="A585" s="5">
        <v>578</v>
      </c>
      <c r="B585" s="5">
        <v>130</v>
      </c>
      <c r="C585" s="10" t="s">
        <v>918</v>
      </c>
      <c r="D585" s="7" t="s">
        <v>1897</v>
      </c>
      <c r="E585" s="8" t="str">
        <f>T("立體構成")</f>
        <v>立體構成</v>
      </c>
      <c r="F585" s="7" t="s">
        <v>3075</v>
      </c>
      <c r="G585" s="7" t="str">
        <f>T("華中科技")</f>
        <v>華中科技</v>
      </c>
      <c r="H585" s="7" t="str">
        <f>T("20080901")</f>
        <v>20080901</v>
      </c>
      <c r="I585" s="7">
        <v>36</v>
      </c>
      <c r="J585" s="7">
        <v>216</v>
      </c>
      <c r="K585" s="9" t="s">
        <v>1334</v>
      </c>
    </row>
    <row r="586" spans="1:11" x14ac:dyDescent="0.25">
      <c r="A586" s="5">
        <v>579</v>
      </c>
      <c r="B586" s="5">
        <v>131</v>
      </c>
      <c r="C586" s="10" t="s">
        <v>933</v>
      </c>
      <c r="D586" s="7" t="s">
        <v>1898</v>
      </c>
      <c r="E586" s="8" t="str">
        <f>T("新編寫意人物畫")</f>
        <v>新編寫意人物畫</v>
      </c>
      <c r="F586" s="7" t="s">
        <v>3076</v>
      </c>
      <c r="G586" s="7" t="str">
        <f>T("西南師大")</f>
        <v>西南師大</v>
      </c>
      <c r="H586" s="7" t="str">
        <f>T("20040501")</f>
        <v>20040501</v>
      </c>
      <c r="I586" s="7">
        <v>42</v>
      </c>
      <c r="J586" s="7">
        <v>252</v>
      </c>
      <c r="K586" s="9" t="s">
        <v>1334</v>
      </c>
    </row>
    <row r="587" spans="1:11" x14ac:dyDescent="0.25">
      <c r="A587" s="5">
        <v>580</v>
      </c>
      <c r="B587" s="5">
        <v>132</v>
      </c>
      <c r="C587" s="10" t="s">
        <v>934</v>
      </c>
      <c r="D587" s="7" t="s">
        <v>1899</v>
      </c>
      <c r="E587" s="8" t="str">
        <f>T("新編青綠山水畫")</f>
        <v>新編青綠山水畫</v>
      </c>
      <c r="F587" s="7" t="s">
        <v>3077</v>
      </c>
      <c r="G587" s="7" t="str">
        <f>T("西南師大")</f>
        <v>西南師大</v>
      </c>
      <c r="H587" s="7" t="str">
        <f>T("20060301")</f>
        <v>20060301</v>
      </c>
      <c r="I587" s="7">
        <v>42</v>
      </c>
      <c r="J587" s="7">
        <v>252</v>
      </c>
      <c r="K587" s="9" t="s">
        <v>1334</v>
      </c>
    </row>
    <row r="588" spans="1:11" x14ac:dyDescent="0.25">
      <c r="A588" s="5">
        <v>581</v>
      </c>
      <c r="B588" s="5">
        <v>133</v>
      </c>
      <c r="C588" s="10" t="s">
        <v>935</v>
      </c>
      <c r="D588" s="7" t="s">
        <v>1900</v>
      </c>
      <c r="E588" s="8" t="str">
        <f>T("中國古代設計藝術思想論綱")</f>
        <v>中國古代設計藝術思想論綱</v>
      </c>
      <c r="F588" s="7" t="s">
        <v>3078</v>
      </c>
      <c r="G588" s="7" t="str">
        <f>T("重慶大學")</f>
        <v>重慶大學</v>
      </c>
      <c r="H588" s="7" t="str">
        <f>T("20100301")</f>
        <v>20100301</v>
      </c>
      <c r="I588" s="7">
        <v>36</v>
      </c>
      <c r="J588" s="7">
        <v>216</v>
      </c>
      <c r="K588" s="9" t="s">
        <v>1334</v>
      </c>
    </row>
    <row r="589" spans="1:11" x14ac:dyDescent="0.25">
      <c r="A589" s="5">
        <v>582</v>
      </c>
      <c r="B589" s="5">
        <v>134</v>
      </c>
      <c r="C589" s="10" t="s">
        <v>939</v>
      </c>
      <c r="D589" s="7" t="s">
        <v>1901</v>
      </c>
      <c r="E589" s="8" t="str">
        <f>T("當代民間藝術--美國藝術書系")</f>
        <v>當代民間藝術--美國藝術書系</v>
      </c>
      <c r="F589" s="7" t="s">
        <v>3079</v>
      </c>
      <c r="G589" s="7" t="str">
        <f>T("廣西師大")</f>
        <v>廣西師大</v>
      </c>
      <c r="H589" s="7" t="str">
        <f>T("20030401")</f>
        <v>20030401</v>
      </c>
      <c r="I589" s="7">
        <v>36.799999999999997</v>
      </c>
      <c r="J589" s="7">
        <v>221</v>
      </c>
      <c r="K589" s="9" t="s">
        <v>1334</v>
      </c>
    </row>
    <row r="590" spans="1:11" x14ac:dyDescent="0.25">
      <c r="A590" s="5">
        <v>583</v>
      </c>
      <c r="B590" s="5">
        <v>135</v>
      </c>
      <c r="C590" s="10" t="s">
        <v>940</v>
      </c>
      <c r="D590" s="7" t="s">
        <v>1902</v>
      </c>
      <c r="E590" s="8" t="str">
        <f>T("藝術的陰謀：透視一種「當代藝術國際」")</f>
        <v>藝術的陰謀：透視一種「當代藝術國際」</v>
      </c>
      <c r="F590" s="7" t="s">
        <v>3080</v>
      </c>
      <c r="G590" s="7" t="str">
        <f>T("廣西師範大")</f>
        <v>廣西師範大</v>
      </c>
      <c r="H590" s="7" t="str">
        <f>T("20100101")</f>
        <v>20100101</v>
      </c>
      <c r="I590" s="7">
        <v>34</v>
      </c>
      <c r="J590" s="7">
        <v>204</v>
      </c>
      <c r="K590" s="9" t="s">
        <v>1334</v>
      </c>
    </row>
    <row r="591" spans="1:11" x14ac:dyDescent="0.25">
      <c r="A591" s="5">
        <v>584</v>
      </c>
      <c r="B591" s="5">
        <v>136</v>
      </c>
      <c r="C591" s="10" t="s">
        <v>177</v>
      </c>
      <c r="D591" s="7" t="s">
        <v>1903</v>
      </c>
      <c r="E591" s="8" t="str">
        <f>T("中外舞蹈鑒賞語言")</f>
        <v>中外舞蹈鑒賞語言</v>
      </c>
      <c r="F591" s="7" t="s">
        <v>3081</v>
      </c>
      <c r="G591" s="7" t="str">
        <f t="shared" ref="G591:G596" si="29">T("廣西師大")</f>
        <v>廣西師大</v>
      </c>
      <c r="H591" s="7" t="str">
        <f>T("20080901")</f>
        <v>20080901</v>
      </c>
      <c r="I591" s="7">
        <v>40</v>
      </c>
      <c r="J591" s="7">
        <v>240</v>
      </c>
      <c r="K591" s="9" t="s">
        <v>1334</v>
      </c>
    </row>
    <row r="592" spans="1:11" x14ac:dyDescent="0.25">
      <c r="A592" s="5">
        <v>585</v>
      </c>
      <c r="B592" s="5">
        <v>137</v>
      </c>
      <c r="C592" s="10" t="s">
        <v>178</v>
      </c>
      <c r="D592" s="7" t="s">
        <v>1904</v>
      </c>
      <c r="E592" s="8" t="str">
        <f>T("中外電影鑒賞語言")</f>
        <v>中外電影鑒賞語言</v>
      </c>
      <c r="F592" s="7" t="s">
        <v>3082</v>
      </c>
      <c r="G592" s="7" t="str">
        <f t="shared" si="29"/>
        <v>廣西師大</v>
      </c>
      <c r="H592" s="7" t="str">
        <f>T("20080901")</f>
        <v>20080901</v>
      </c>
      <c r="I592" s="7">
        <v>42.5</v>
      </c>
      <c r="J592" s="7">
        <v>255</v>
      </c>
      <c r="K592" s="9" t="s">
        <v>1334</v>
      </c>
    </row>
    <row r="593" spans="1:11" x14ac:dyDescent="0.25">
      <c r="A593" s="5">
        <v>586</v>
      </c>
      <c r="B593" s="5">
        <v>138</v>
      </c>
      <c r="C593" s="10" t="s">
        <v>946</v>
      </c>
      <c r="D593" s="7" t="s">
        <v>1905</v>
      </c>
      <c r="E593" s="8" t="str">
        <f>T("書法藝術鑒賞語言")</f>
        <v>書法藝術鑒賞語言</v>
      </c>
      <c r="F593" s="7" t="s">
        <v>3083</v>
      </c>
      <c r="G593" s="7" t="str">
        <f t="shared" si="29"/>
        <v>廣西師大</v>
      </c>
      <c r="H593" s="7" t="str">
        <f>T("20080901")</f>
        <v>20080901</v>
      </c>
      <c r="I593" s="7">
        <v>41</v>
      </c>
      <c r="J593" s="7">
        <v>246</v>
      </c>
      <c r="K593" s="9" t="s">
        <v>1334</v>
      </c>
    </row>
    <row r="594" spans="1:11" x14ac:dyDescent="0.25">
      <c r="A594" s="5">
        <v>587</v>
      </c>
      <c r="B594" s="5">
        <v>139</v>
      </c>
      <c r="C594" s="10" t="s">
        <v>948</v>
      </c>
      <c r="D594" s="7" t="s">
        <v>1906</v>
      </c>
      <c r="E594" s="8" t="str">
        <f>T("西方美術鑒賞語言")</f>
        <v>西方美術鑒賞語言</v>
      </c>
      <c r="F594" s="7" t="s">
        <v>3084</v>
      </c>
      <c r="G594" s="7" t="str">
        <f t="shared" si="29"/>
        <v>廣西師大</v>
      </c>
      <c r="H594" s="7" t="str">
        <f>T("20090201")</f>
        <v>20090201</v>
      </c>
      <c r="I594" s="7">
        <v>42</v>
      </c>
      <c r="J594" s="7">
        <v>252</v>
      </c>
      <c r="K594" s="9" t="s">
        <v>1334</v>
      </c>
    </row>
    <row r="595" spans="1:11" x14ac:dyDescent="0.25">
      <c r="A595" s="5">
        <v>588</v>
      </c>
      <c r="B595" s="5">
        <v>140</v>
      </c>
      <c r="C595" s="10" t="s">
        <v>179</v>
      </c>
      <c r="D595" s="7" t="s">
        <v>1907</v>
      </c>
      <c r="E595" s="8" t="str">
        <f>T("西方音樂鑒賞語言")</f>
        <v>西方音樂鑒賞語言</v>
      </c>
      <c r="F595" s="7" t="s">
        <v>3085</v>
      </c>
      <c r="G595" s="7" t="str">
        <f t="shared" si="29"/>
        <v>廣西師大</v>
      </c>
      <c r="H595" s="7" t="str">
        <f>T("20080901")</f>
        <v>20080901</v>
      </c>
      <c r="I595" s="7">
        <v>37</v>
      </c>
      <c r="J595" s="7">
        <v>222</v>
      </c>
      <c r="K595" s="9" t="s">
        <v>1334</v>
      </c>
    </row>
    <row r="596" spans="1:11" x14ac:dyDescent="0.25">
      <c r="A596" s="5">
        <v>589</v>
      </c>
      <c r="B596" s="5">
        <v>141</v>
      </c>
      <c r="C596" s="10" t="s">
        <v>180</v>
      </c>
      <c r="D596" s="7" t="s">
        <v>1908</v>
      </c>
      <c r="E596" s="8" t="str">
        <f>T("中國美術鑒賞語言")</f>
        <v>中國美術鑒賞語言</v>
      </c>
      <c r="F596" s="7" t="s">
        <v>3086</v>
      </c>
      <c r="G596" s="7" t="str">
        <f t="shared" si="29"/>
        <v>廣西師大</v>
      </c>
      <c r="H596" s="7" t="str">
        <f>T("20090201")</f>
        <v>20090201</v>
      </c>
      <c r="I596" s="7">
        <v>52</v>
      </c>
      <c r="J596" s="7">
        <v>312</v>
      </c>
      <c r="K596" s="9" t="s">
        <v>1334</v>
      </c>
    </row>
    <row r="597" spans="1:11" x14ac:dyDescent="0.25">
      <c r="A597" s="5">
        <v>590</v>
      </c>
      <c r="B597" s="5">
        <v>142</v>
      </c>
      <c r="C597" s="10" t="s">
        <v>185</v>
      </c>
      <c r="D597" s="7" t="s">
        <v>1909</v>
      </c>
      <c r="E597" s="8" t="str">
        <f>T("天府永藏")</f>
        <v>天府永藏</v>
      </c>
      <c r="F597" s="7" t="s">
        <v>3087</v>
      </c>
      <c r="G597" s="7" t="str">
        <f t="shared" ref="G597:G602" si="30">T("紫禁城")</f>
        <v>紫禁城</v>
      </c>
      <c r="H597" s="7" t="str">
        <f>T("20090601")</f>
        <v>20090601</v>
      </c>
      <c r="I597" s="7">
        <v>39</v>
      </c>
      <c r="J597" s="7">
        <v>234</v>
      </c>
      <c r="K597" s="9" t="s">
        <v>1334</v>
      </c>
    </row>
    <row r="598" spans="1:11" x14ac:dyDescent="0.25">
      <c r="A598" s="5">
        <v>591</v>
      </c>
      <c r="B598" s="5">
        <v>143</v>
      </c>
      <c r="C598" s="10" t="s">
        <v>186</v>
      </c>
      <c r="D598" s="7" t="s">
        <v>1910</v>
      </c>
      <c r="E598" s="8" t="str">
        <f>T("故宮問學")</f>
        <v>故宮問學</v>
      </c>
      <c r="F598" s="7" t="s">
        <v>3088</v>
      </c>
      <c r="G598" s="7" t="str">
        <f t="shared" si="30"/>
        <v>紫禁城</v>
      </c>
      <c r="H598" s="7" t="str">
        <f>T("20090901")</f>
        <v>20090901</v>
      </c>
      <c r="I598" s="7">
        <v>36</v>
      </c>
      <c r="J598" s="7">
        <v>216</v>
      </c>
      <c r="K598" s="9" t="s">
        <v>1334</v>
      </c>
    </row>
    <row r="599" spans="1:11" x14ac:dyDescent="0.25">
      <c r="A599" s="5">
        <v>592</v>
      </c>
      <c r="B599" s="5">
        <v>144</v>
      </c>
      <c r="C599" s="10" t="s">
        <v>994</v>
      </c>
      <c r="D599" s="7" t="s">
        <v>1911</v>
      </c>
      <c r="E599" s="8" t="str">
        <f>T("悠悠青瓷(文物的故事：第1輯)")</f>
        <v>悠悠青瓷(文物的故事：第1輯)</v>
      </c>
      <c r="F599" s="7" t="s">
        <v>3089</v>
      </c>
      <c r="G599" s="7" t="str">
        <f t="shared" si="30"/>
        <v>紫禁城</v>
      </c>
      <c r="H599" s="7" t="str">
        <f>T("20090401")</f>
        <v>20090401</v>
      </c>
      <c r="I599" s="7">
        <v>29</v>
      </c>
      <c r="J599" s="7">
        <v>174</v>
      </c>
      <c r="K599" s="9" t="s">
        <v>1334</v>
      </c>
    </row>
    <row r="600" spans="1:11" x14ac:dyDescent="0.25">
      <c r="A600" s="5">
        <v>593</v>
      </c>
      <c r="B600" s="5">
        <v>145</v>
      </c>
      <c r="C600" s="10" t="s">
        <v>995</v>
      </c>
      <c r="D600" s="7" t="s">
        <v>1912</v>
      </c>
      <c r="E600" s="8" t="str">
        <f>T("元明清國寶的故事")</f>
        <v>元明清國寶的故事</v>
      </c>
      <c r="F600" s="7" t="s">
        <v>3090</v>
      </c>
      <c r="G600" s="7" t="str">
        <f t="shared" si="30"/>
        <v>紫禁城</v>
      </c>
      <c r="H600" s="7" t="str">
        <f>T("20091101")</f>
        <v>20091101</v>
      </c>
      <c r="I600" s="7">
        <v>36</v>
      </c>
      <c r="J600" s="7">
        <v>216</v>
      </c>
      <c r="K600" s="9" t="s">
        <v>1334</v>
      </c>
    </row>
    <row r="601" spans="1:11" x14ac:dyDescent="0.25">
      <c r="A601" s="5">
        <v>594</v>
      </c>
      <c r="B601" s="5">
        <v>146</v>
      </c>
      <c r="C601" s="10" t="s">
        <v>996</v>
      </c>
      <c r="D601" s="7" t="s">
        <v>1913</v>
      </c>
      <c r="E601" s="8" t="str">
        <f>T("春水秋英—故宮博物院藏清代玻璃器")</f>
        <v>春水秋英—故宮博物院藏清代玻璃器</v>
      </c>
      <c r="F601" s="7" t="s">
        <v>3091</v>
      </c>
      <c r="G601" s="7" t="str">
        <f t="shared" si="30"/>
        <v>紫禁城</v>
      </c>
      <c r="H601" s="7" t="str">
        <f>T("20090801")</f>
        <v>20090801</v>
      </c>
      <c r="I601" s="7">
        <v>49</v>
      </c>
      <c r="J601" s="7">
        <v>294</v>
      </c>
      <c r="K601" s="9" t="s">
        <v>1334</v>
      </c>
    </row>
    <row r="602" spans="1:11" x14ac:dyDescent="0.25">
      <c r="A602" s="5">
        <v>595</v>
      </c>
      <c r="B602" s="5">
        <v>147</v>
      </c>
      <c r="C602" s="10" t="s">
        <v>997</v>
      </c>
      <c r="D602" s="7" t="s">
        <v>1914</v>
      </c>
      <c r="E602" s="8" t="str">
        <f>T("唐宋國寶的故事")</f>
        <v>唐宋國寶的故事</v>
      </c>
      <c r="F602" s="7" t="s">
        <v>3090</v>
      </c>
      <c r="G602" s="7" t="str">
        <f t="shared" si="30"/>
        <v>紫禁城</v>
      </c>
      <c r="H602" s="7" t="str">
        <f>T("20091101")</f>
        <v>20091101</v>
      </c>
      <c r="I602" s="7">
        <v>36</v>
      </c>
      <c r="J602" s="7">
        <v>216</v>
      </c>
      <c r="K602" s="9" t="s">
        <v>1334</v>
      </c>
    </row>
    <row r="603" spans="1:11" x14ac:dyDescent="0.25">
      <c r="A603" s="5">
        <v>596</v>
      </c>
      <c r="B603" s="5">
        <v>148</v>
      </c>
      <c r="C603" s="10" t="s">
        <v>1001</v>
      </c>
      <c r="D603" s="7" t="s">
        <v>1915</v>
      </c>
      <c r="E603" s="8" t="str">
        <f>T("四體四書")</f>
        <v>四體四書</v>
      </c>
      <c r="F603" s="7" t="s">
        <v>3092</v>
      </c>
      <c r="G603" s="7" t="str">
        <f>T("學苑")</f>
        <v>學苑</v>
      </c>
      <c r="H603" s="7" t="str">
        <f>T("")</f>
        <v/>
      </c>
      <c r="I603" s="7">
        <v>60</v>
      </c>
      <c r="J603" s="7">
        <v>360</v>
      </c>
      <c r="K603" s="9" t="s">
        <v>1334</v>
      </c>
    </row>
    <row r="604" spans="1:11" x14ac:dyDescent="0.25">
      <c r="A604" s="5">
        <v>597</v>
      </c>
      <c r="B604" s="5">
        <v>149</v>
      </c>
      <c r="C604" s="10" t="s">
        <v>1005</v>
      </c>
      <c r="D604" s="7" t="s">
        <v>1916</v>
      </c>
      <c r="E604" s="8" t="str">
        <f>T("中華碑文化璀璨輝煌")</f>
        <v>中華碑文化璀璨輝煌</v>
      </c>
      <c r="F604" s="7" t="s">
        <v>3093</v>
      </c>
      <c r="G604" s="7" t="str">
        <f>T("群言")</f>
        <v>群言</v>
      </c>
      <c r="H604" s="7" t="str">
        <f>T("20081201")</f>
        <v>20081201</v>
      </c>
      <c r="I604" s="7">
        <v>26</v>
      </c>
      <c r="J604" s="7">
        <v>156</v>
      </c>
      <c r="K604" s="9" t="s">
        <v>1334</v>
      </c>
    </row>
    <row r="605" spans="1:11" x14ac:dyDescent="0.25">
      <c r="A605" s="5">
        <v>598</v>
      </c>
      <c r="B605" s="5">
        <v>150</v>
      </c>
      <c r="C605" s="10" t="s">
        <v>1012</v>
      </c>
      <c r="D605" s="7" t="s">
        <v>1917</v>
      </c>
      <c r="E605" s="8" t="str">
        <f>T("後現代城市美學")</f>
        <v>後現代城市美學</v>
      </c>
      <c r="F605" s="7" t="s">
        <v>3094</v>
      </c>
      <c r="G605" s="7" t="str">
        <f>T("當代中國")</f>
        <v>當代中國</v>
      </c>
      <c r="H605" s="7" t="str">
        <f>T("20090501")</f>
        <v>20090501</v>
      </c>
      <c r="I605" s="7">
        <v>50</v>
      </c>
      <c r="J605" s="7">
        <v>300</v>
      </c>
      <c r="K605" s="9" t="s">
        <v>1334</v>
      </c>
    </row>
    <row r="606" spans="1:11" x14ac:dyDescent="0.25">
      <c r="A606" s="5">
        <v>599</v>
      </c>
      <c r="B606" s="5">
        <v>151</v>
      </c>
      <c r="C606" s="10" t="s">
        <v>1014</v>
      </c>
      <c r="D606" s="7" t="s">
        <v>1918</v>
      </c>
      <c r="E606" s="8" t="str">
        <f>T("當代北京劇場影院史話")</f>
        <v>當代北京劇場影院史話</v>
      </c>
      <c r="F606" s="7" t="s">
        <v>3095</v>
      </c>
      <c r="G606" s="7" t="str">
        <f>T("當代中國")</f>
        <v>當代中國</v>
      </c>
      <c r="H606" s="7" t="str">
        <f>T("20100101")</f>
        <v>20100101</v>
      </c>
      <c r="I606" s="7">
        <v>26</v>
      </c>
      <c r="J606" s="7">
        <v>156</v>
      </c>
      <c r="K606" s="9" t="s">
        <v>1334</v>
      </c>
    </row>
    <row r="607" spans="1:11" x14ac:dyDescent="0.25">
      <c r="A607" s="5">
        <v>600</v>
      </c>
      <c r="B607" s="5">
        <v>152</v>
      </c>
      <c r="C607" s="10" t="s">
        <v>1016</v>
      </c>
      <c r="D607" s="7" t="s">
        <v>1919</v>
      </c>
      <c r="E607" s="8" t="str">
        <f>T("寶石首飾價值考成")</f>
        <v>寶石首飾價值考成</v>
      </c>
      <c r="F607" s="7" t="s">
        <v>3096</v>
      </c>
      <c r="G607" s="7" t="str">
        <f>T("華齡")</f>
        <v>華齡</v>
      </c>
      <c r="H607" s="7" t="str">
        <f>T("20060101")</f>
        <v>20060101</v>
      </c>
      <c r="I607" s="7">
        <v>90</v>
      </c>
      <c r="J607" s="7">
        <v>540</v>
      </c>
      <c r="K607" s="9" t="s">
        <v>1334</v>
      </c>
    </row>
    <row r="608" spans="1:11" x14ac:dyDescent="0.25">
      <c r="A608" s="5">
        <v>601</v>
      </c>
      <c r="B608" s="5">
        <v>153</v>
      </c>
      <c r="C608" s="10" t="s">
        <v>1028</v>
      </c>
      <c r="D608" s="7" t="s">
        <v>1920</v>
      </c>
      <c r="E608" s="8" t="str">
        <f>T("沈同衡與漫畫工學團")</f>
        <v>沈同衡與漫畫工學團</v>
      </c>
      <c r="F608" s="7" t="s">
        <v>3097</v>
      </c>
      <c r="G608" s="7" t="str">
        <f>T("中共黨史")</f>
        <v>中共黨史</v>
      </c>
      <c r="H608" s="7" t="str">
        <f>T("20080801")</f>
        <v>20080801</v>
      </c>
      <c r="I608" s="7">
        <v>30</v>
      </c>
      <c r="J608" s="7">
        <v>180</v>
      </c>
      <c r="K608" s="9" t="s">
        <v>1334</v>
      </c>
    </row>
    <row r="609" spans="1:11" x14ac:dyDescent="0.25">
      <c r="A609" s="5">
        <v>602</v>
      </c>
      <c r="B609" s="5">
        <v>154</v>
      </c>
      <c r="C609" s="10" t="s">
        <v>1039</v>
      </c>
      <c r="D609" s="7" t="s">
        <v>1921</v>
      </c>
      <c r="E609" s="8" t="str">
        <f>T("國寶密碼")</f>
        <v>國寶密碼</v>
      </c>
      <c r="F609" s="7" t="s">
        <v>3098</v>
      </c>
      <c r="G609" s="7" t="str">
        <f>T("中央編譯")</f>
        <v>中央編譯</v>
      </c>
      <c r="H609" s="7" t="str">
        <f>T("20090101")</f>
        <v>20090101</v>
      </c>
      <c r="I609" s="7">
        <v>39.799999999999997</v>
      </c>
      <c r="J609" s="7">
        <v>239</v>
      </c>
      <c r="K609" s="9" t="s">
        <v>1334</v>
      </c>
    </row>
    <row r="610" spans="1:11" ht="28.5" x14ac:dyDescent="0.25">
      <c r="A610" s="5">
        <v>603</v>
      </c>
      <c r="B610" s="5">
        <v>155</v>
      </c>
      <c r="C610" s="10" t="s">
        <v>1068</v>
      </c>
      <c r="D610" s="7" t="s">
        <v>1922</v>
      </c>
      <c r="E610" s="8" t="str">
        <f>T("藝術家.對話錄-對話中的當代中國藝術史-第四輯")</f>
        <v>藝術家.對話錄-對話中的當代中國藝術史-第四輯</v>
      </c>
      <c r="F610" s="7" t="s">
        <v>3099</v>
      </c>
      <c r="G610" s="7" t="str">
        <f>T("新星")</f>
        <v>新星</v>
      </c>
      <c r="H610" s="7" t="str">
        <f>T("20100101")</f>
        <v>20100101</v>
      </c>
      <c r="I610" s="7">
        <v>39.799999999999997</v>
      </c>
      <c r="J610" s="7">
        <v>239</v>
      </c>
      <c r="K610" s="9" t="s">
        <v>1334</v>
      </c>
    </row>
    <row r="611" spans="1:11" x14ac:dyDescent="0.25">
      <c r="A611" s="5">
        <v>604</v>
      </c>
      <c r="B611" s="5">
        <v>156</v>
      </c>
      <c r="C611" s="10" t="s">
        <v>1096</v>
      </c>
      <c r="D611" s="7" t="s">
        <v>1923</v>
      </c>
      <c r="E611" s="8" t="str">
        <f>T("書法學概論")</f>
        <v>書法學概論</v>
      </c>
      <c r="F611" s="7" t="s">
        <v>2959</v>
      </c>
      <c r="G611" s="7" t="str">
        <f>T("天津古籍")</f>
        <v>天津古籍</v>
      </c>
      <c r="H611" s="7" t="str">
        <f>T("20090901")</f>
        <v>20090901</v>
      </c>
      <c r="I611" s="7">
        <v>40</v>
      </c>
      <c r="J611" s="7">
        <v>240</v>
      </c>
      <c r="K611" s="9" t="s">
        <v>1334</v>
      </c>
    </row>
    <row r="612" spans="1:11" x14ac:dyDescent="0.25">
      <c r="A612" s="5">
        <v>605</v>
      </c>
      <c r="B612" s="5">
        <v>157</v>
      </c>
      <c r="C612" s="10" t="s">
        <v>1097</v>
      </c>
      <c r="D612" s="7" t="s">
        <v>1924</v>
      </c>
      <c r="E612" s="8" t="str">
        <f>T("中國印學年鑒")</f>
        <v>中國印學年鑒</v>
      </c>
      <c r="F612" s="7" t="s">
        <v>1962</v>
      </c>
      <c r="G612" s="7" t="str">
        <f>T("西泠印社")</f>
        <v>西泠印社</v>
      </c>
      <c r="H612" s="7" t="str">
        <f>T("20061231")</f>
        <v>20061231</v>
      </c>
      <c r="I612" s="7">
        <v>65.8</v>
      </c>
      <c r="J612" s="7">
        <v>395</v>
      </c>
      <c r="K612" s="9" t="s">
        <v>1334</v>
      </c>
    </row>
    <row r="613" spans="1:11" x14ac:dyDescent="0.25">
      <c r="A613" s="5">
        <v>606</v>
      </c>
      <c r="B613" s="5">
        <v>158</v>
      </c>
      <c r="C613" s="10" t="s">
        <v>1098</v>
      </c>
      <c r="D613" s="7" t="s">
        <v>1925</v>
      </c>
      <c r="E613" s="8" t="str">
        <f>T("葉畫製作技法")</f>
        <v>葉畫製作技法</v>
      </c>
      <c r="F613" s="7" t="s">
        <v>3100</v>
      </c>
      <c r="G613" s="7" t="str">
        <f>T("北京工美")</f>
        <v>北京工美</v>
      </c>
      <c r="H613" s="7" t="str">
        <f>T("")</f>
        <v/>
      </c>
      <c r="I613" s="7">
        <v>20</v>
      </c>
      <c r="J613" s="7">
        <v>120</v>
      </c>
      <c r="K613" s="9" t="s">
        <v>1334</v>
      </c>
    </row>
    <row r="614" spans="1:11" x14ac:dyDescent="0.25">
      <c r="A614" s="5">
        <v>607</v>
      </c>
      <c r="B614" s="5">
        <v>159</v>
      </c>
      <c r="C614" s="10" t="s">
        <v>1100</v>
      </c>
      <c r="D614" s="7" t="s">
        <v>1926</v>
      </c>
      <c r="E614" s="8" t="str">
        <f>T("沉浮形意書精品")</f>
        <v>沉浮形意書精品</v>
      </c>
      <c r="F614" s="7" t="s">
        <v>3101</v>
      </c>
      <c r="G614" s="7" t="str">
        <f>T("北京工美")</f>
        <v>北京工美</v>
      </c>
      <c r="H614" s="7" t="str">
        <f>T("20050601")</f>
        <v>20050601</v>
      </c>
      <c r="I614" s="7">
        <v>15</v>
      </c>
      <c r="J614" s="7">
        <v>90</v>
      </c>
      <c r="K614" s="9" t="s">
        <v>1334</v>
      </c>
    </row>
    <row r="615" spans="1:11" x14ac:dyDescent="0.25">
      <c r="A615" s="5">
        <v>608</v>
      </c>
      <c r="B615" s="5">
        <v>160</v>
      </c>
      <c r="C615" s="10" t="s">
        <v>1101</v>
      </c>
      <c r="D615" s="7" t="s">
        <v>1926</v>
      </c>
      <c r="E615" s="8" t="str">
        <f>T("沉浮徽州精品")</f>
        <v>沉浮徽州精品</v>
      </c>
      <c r="F615" s="7" t="s">
        <v>1962</v>
      </c>
      <c r="G615" s="7" t="str">
        <f>T("")</f>
        <v/>
      </c>
      <c r="H615" s="7" t="str">
        <f>T("")</f>
        <v/>
      </c>
      <c r="I615" s="7">
        <v>15</v>
      </c>
      <c r="J615" s="7">
        <v>90</v>
      </c>
      <c r="K615" s="9" t="s">
        <v>1334</v>
      </c>
    </row>
    <row r="616" spans="1:11" x14ac:dyDescent="0.25">
      <c r="A616" s="5">
        <v>609</v>
      </c>
      <c r="B616" s="5">
        <v>161</v>
      </c>
      <c r="C616" s="10" t="s">
        <v>1102</v>
      </c>
      <c r="D616" s="7" t="s">
        <v>1926</v>
      </c>
      <c r="E616" s="8" t="str">
        <f>T("沉浮梅花精品")</f>
        <v>沉浮梅花精品</v>
      </c>
      <c r="F616" s="7" t="s">
        <v>3101</v>
      </c>
      <c r="G616" s="7" t="str">
        <f>T("北京工美")</f>
        <v>北京工美</v>
      </c>
      <c r="H616" s="7" t="str">
        <f>T("")</f>
        <v/>
      </c>
      <c r="I616" s="7">
        <v>15</v>
      </c>
      <c r="J616" s="7">
        <v>90</v>
      </c>
      <c r="K616" s="9" t="s">
        <v>1334</v>
      </c>
    </row>
    <row r="617" spans="1:11" x14ac:dyDescent="0.25">
      <c r="A617" s="5">
        <v>610</v>
      </c>
      <c r="B617" s="5">
        <v>162</v>
      </c>
      <c r="C617" s="10" t="s">
        <v>1105</v>
      </c>
      <c r="D617" s="7" t="s">
        <v>1927</v>
      </c>
      <c r="E617" s="8" t="str">
        <f>T("案底刺繡")</f>
        <v>案底刺繡</v>
      </c>
      <c r="F617" s="7" t="s">
        <v>3102</v>
      </c>
      <c r="G617" s="7" t="str">
        <f>T("甘肅人民")</f>
        <v>甘肅人民</v>
      </c>
      <c r="H617" s="7" t="str">
        <f>T("")</f>
        <v/>
      </c>
      <c r="I617" s="7">
        <v>18</v>
      </c>
      <c r="J617" s="7">
        <v>108</v>
      </c>
      <c r="K617" s="9" t="s">
        <v>1334</v>
      </c>
    </row>
    <row r="618" spans="1:11" x14ac:dyDescent="0.25">
      <c r="A618" s="5">
        <v>611</v>
      </c>
      <c r="B618" s="5">
        <v>163</v>
      </c>
      <c r="C618" s="10" t="s">
        <v>1106</v>
      </c>
      <c r="D618" s="7" t="s">
        <v>1928</v>
      </c>
      <c r="E618" s="8" t="str">
        <f>T("中國西部藝術論")</f>
        <v>中國西部藝術論</v>
      </c>
      <c r="F618" s="7" t="s">
        <v>2844</v>
      </c>
      <c r="G618" s="7" t="str">
        <f>T("甘肅人民")</f>
        <v>甘肅人民</v>
      </c>
      <c r="H618" s="7" t="str">
        <f>T("20090101")</f>
        <v>20090101</v>
      </c>
      <c r="I618" s="7">
        <v>32</v>
      </c>
      <c r="J618" s="7">
        <v>192</v>
      </c>
      <c r="K618" s="9" t="s">
        <v>1334</v>
      </c>
    </row>
    <row r="619" spans="1:11" x14ac:dyDescent="0.25">
      <c r="A619" s="5">
        <v>612</v>
      </c>
      <c r="B619" s="5">
        <v>164</v>
      </c>
      <c r="C619" s="10" t="s">
        <v>1109</v>
      </c>
      <c r="D619" s="7" t="s">
        <v>1929</v>
      </c>
      <c r="E619" s="8" t="str">
        <f>T("中國彩陶藝術論（全彩）")</f>
        <v>中國彩陶藝術論（全彩）</v>
      </c>
      <c r="F619" s="7" t="s">
        <v>2844</v>
      </c>
      <c r="G619" s="7" t="str">
        <f>T("甘肅人民")</f>
        <v>甘肅人民</v>
      </c>
      <c r="H619" s="7" t="str">
        <f>T("20090101")</f>
        <v>20090101</v>
      </c>
      <c r="I619" s="7">
        <v>48</v>
      </c>
      <c r="J619" s="7">
        <v>288</v>
      </c>
      <c r="K619" s="9" t="s">
        <v>1334</v>
      </c>
    </row>
    <row r="620" spans="1:11" x14ac:dyDescent="0.25">
      <c r="A620" s="5">
        <v>613</v>
      </c>
      <c r="B620" s="5">
        <v>165</v>
      </c>
      <c r="C620" s="10" t="s">
        <v>1110</v>
      </c>
      <c r="D620" s="7" t="s">
        <v>1930</v>
      </c>
      <c r="E620" s="8" t="str">
        <f>T("中國歷代文物鑒賞:陶瓷卷")</f>
        <v>中國歷代文物鑒賞:陶瓷卷</v>
      </c>
      <c r="F620" s="7" t="s">
        <v>3103</v>
      </c>
      <c r="G620" s="7" t="str">
        <f>T("遼寧畫報")</f>
        <v>遼寧畫報</v>
      </c>
      <c r="H620" s="7" t="str">
        <f>T("")</f>
        <v/>
      </c>
      <c r="I620" s="7">
        <v>68</v>
      </c>
      <c r="J620" s="7">
        <v>408</v>
      </c>
      <c r="K620" s="9" t="s">
        <v>1334</v>
      </c>
    </row>
    <row r="621" spans="1:11" x14ac:dyDescent="0.25">
      <c r="A621" s="5">
        <v>614</v>
      </c>
      <c r="B621" s="5">
        <v>166</v>
      </c>
      <c r="C621" s="10" t="s">
        <v>1112</v>
      </c>
      <c r="D621" s="7" t="s">
        <v>1931</v>
      </c>
      <c r="E621" s="8" t="str">
        <f>T("2006年藝術品拍賣排行榜. 書畫卷")</f>
        <v>2006年藝術品拍賣排行榜. 書畫卷</v>
      </c>
      <c r="F621" s="7" t="s">
        <v>3104</v>
      </c>
      <c r="G621" s="7" t="str">
        <f>T("萬卷")</f>
        <v>萬卷</v>
      </c>
      <c r="H621" s="7" t="str">
        <f>T("20070101")</f>
        <v>20070101</v>
      </c>
      <c r="I621" s="7">
        <v>36</v>
      </c>
      <c r="J621" s="7">
        <v>216</v>
      </c>
      <c r="K621" s="9" t="s">
        <v>1334</v>
      </c>
    </row>
    <row r="622" spans="1:11" x14ac:dyDescent="0.25">
      <c r="A622" s="5">
        <v>615</v>
      </c>
      <c r="B622" s="5">
        <v>167</v>
      </c>
      <c r="C622" s="10" t="s">
        <v>1113</v>
      </c>
      <c r="D622" s="7" t="s">
        <v>1932</v>
      </c>
      <c r="E622" s="8" t="str">
        <f>T("瀋陽故宮博物院院藏·琺瑯")</f>
        <v>瀋陽故宮博物院院藏·琺瑯</v>
      </c>
      <c r="F622" s="7" t="s">
        <v>3105</v>
      </c>
      <c r="G622" s="7" t="str">
        <f>T("萬卷")</f>
        <v>萬卷</v>
      </c>
      <c r="H622" s="7" t="str">
        <f>T("")</f>
        <v/>
      </c>
      <c r="I622" s="7">
        <v>480</v>
      </c>
      <c r="J622" s="7">
        <v>2880</v>
      </c>
      <c r="K622" s="9" t="s">
        <v>1334</v>
      </c>
    </row>
    <row r="623" spans="1:11" x14ac:dyDescent="0.25">
      <c r="A623" s="5">
        <v>616</v>
      </c>
      <c r="B623" s="5">
        <v>168</v>
      </c>
      <c r="C623" s="10" t="s">
        <v>1205</v>
      </c>
      <c r="D623" s="7" t="s">
        <v>1933</v>
      </c>
      <c r="E623" s="8" t="str">
        <f>T("風度服飾")</f>
        <v>風度服飾</v>
      </c>
      <c r="F623" s="7" t="s">
        <v>3106</v>
      </c>
      <c r="G623" s="7" t="str">
        <f>T("羊城晚報")</f>
        <v>羊城晚報</v>
      </c>
      <c r="H623" s="7" t="str">
        <f>T("")</f>
        <v/>
      </c>
      <c r="I623" s="7">
        <v>30</v>
      </c>
      <c r="J623" s="7">
        <v>180</v>
      </c>
      <c r="K623" s="9" t="s">
        <v>1334</v>
      </c>
    </row>
    <row r="624" spans="1:11" x14ac:dyDescent="0.25">
      <c r="A624" s="5">
        <v>617</v>
      </c>
      <c r="B624" s="5">
        <v>169</v>
      </c>
      <c r="C624" s="10" t="s">
        <v>51</v>
      </c>
      <c r="D624" s="7" t="s">
        <v>1934</v>
      </c>
      <c r="E624" s="8" t="str">
        <f>T("畫詠新疆")</f>
        <v>畫詠新疆</v>
      </c>
      <c r="F624" s="7" t="s">
        <v>1962</v>
      </c>
      <c r="G624" s="7" t="str">
        <f>T("新疆美攝")</f>
        <v>新疆美攝</v>
      </c>
      <c r="H624" s="7" t="str">
        <f>T("20080201")</f>
        <v>20080201</v>
      </c>
      <c r="I624" s="7">
        <v>118</v>
      </c>
      <c r="J624" s="7">
        <v>708</v>
      </c>
      <c r="K624" s="9" t="s">
        <v>1334</v>
      </c>
    </row>
    <row r="625" spans="1:11" x14ac:dyDescent="0.25">
      <c r="A625" s="5">
        <v>618</v>
      </c>
      <c r="B625" s="5">
        <v>170</v>
      </c>
      <c r="C625" s="10" t="s">
        <v>1215</v>
      </c>
      <c r="D625" s="7" t="s">
        <v>1935</v>
      </c>
      <c r="E625" s="8" t="str">
        <f>T("武陵山區古代文化概論")</f>
        <v>武陵山區古代文化概論</v>
      </c>
      <c r="F625" s="7" t="s">
        <v>3107</v>
      </c>
      <c r="G625" s="7" t="str">
        <f>T("嶽麓書社")</f>
        <v>嶽麓書社</v>
      </c>
      <c r="H625" s="7" t="str">
        <f>T("20040901")</f>
        <v>20040901</v>
      </c>
      <c r="I625" s="7">
        <v>82</v>
      </c>
      <c r="J625" s="7">
        <v>492</v>
      </c>
      <c r="K625" s="9" t="s">
        <v>1334</v>
      </c>
    </row>
    <row r="626" spans="1:11" x14ac:dyDescent="0.25">
      <c r="A626" s="5">
        <v>619</v>
      </c>
      <c r="B626" s="5">
        <v>171</v>
      </c>
      <c r="C626" s="10" t="s">
        <v>1216</v>
      </c>
      <c r="D626" s="7" t="s">
        <v>1936</v>
      </c>
      <c r="E626" s="8" t="str">
        <f>T("湘西畫卷")</f>
        <v>湘西畫卷</v>
      </c>
      <c r="F626" s="7" t="s">
        <v>3107</v>
      </c>
      <c r="G626" s="7" t="str">
        <f>T("嶽麓書社")</f>
        <v>嶽麓書社</v>
      </c>
      <c r="H626" s="7" t="str">
        <f>T("20071205")</f>
        <v>20071205</v>
      </c>
      <c r="I626" s="7">
        <v>480</v>
      </c>
      <c r="J626" s="7">
        <v>2880</v>
      </c>
      <c r="K626" s="9" t="s">
        <v>1334</v>
      </c>
    </row>
    <row r="627" spans="1:11" x14ac:dyDescent="0.25">
      <c r="A627" s="5">
        <v>620</v>
      </c>
      <c r="B627" s="5">
        <v>172</v>
      </c>
      <c r="C627" s="10" t="s">
        <v>1217</v>
      </c>
      <c r="D627" s="7" t="s">
        <v>1937</v>
      </c>
      <c r="E627" s="8" t="str">
        <f>T("自己的嫁衣")</f>
        <v>自己的嫁衣</v>
      </c>
      <c r="F627" s="7" t="s">
        <v>3108</v>
      </c>
      <c r="G627" s="7" t="str">
        <f>T("嶽麓書社")</f>
        <v>嶽麓書社</v>
      </c>
      <c r="H627" s="7" t="str">
        <f>T("20050301")</f>
        <v>20050301</v>
      </c>
      <c r="I627" s="7">
        <v>15</v>
      </c>
      <c r="J627" s="7">
        <v>90</v>
      </c>
      <c r="K627" s="9" t="s">
        <v>1334</v>
      </c>
    </row>
    <row r="628" spans="1:11" x14ac:dyDescent="0.25">
      <c r="A628" s="5">
        <v>621</v>
      </c>
      <c r="B628" s="5">
        <v>173</v>
      </c>
      <c r="C628" s="10" t="s">
        <v>1219</v>
      </c>
      <c r="D628" s="7" t="s">
        <v>1938</v>
      </c>
      <c r="E628" s="8" t="str">
        <f>T("尋衣記-追尋衣服的似水流年")</f>
        <v>尋衣記-追尋衣服的似水流年</v>
      </c>
      <c r="F628" s="7" t="s">
        <v>3109</v>
      </c>
      <c r="G628" s="7" t="str">
        <f>T("嶽麓書社")</f>
        <v>嶽麓書社</v>
      </c>
      <c r="H628" s="7" t="str">
        <f>T("20051001")</f>
        <v>20051001</v>
      </c>
      <c r="I628" s="7">
        <v>38</v>
      </c>
      <c r="J628" s="7">
        <v>228</v>
      </c>
      <c r="K628" s="9" t="s">
        <v>1334</v>
      </c>
    </row>
    <row r="629" spans="1:11" x14ac:dyDescent="0.25">
      <c r="A629" s="5">
        <v>622</v>
      </c>
      <c r="B629" s="5">
        <v>174</v>
      </c>
      <c r="C629" s="10" t="s">
        <v>1220</v>
      </c>
      <c r="D629" s="7" t="s">
        <v>1939</v>
      </c>
      <c r="E629" s="8" t="str">
        <f>T("王子雲西北寫生選(1940-1945)")</f>
        <v>王子雲西北寫生選(1940-1945)</v>
      </c>
      <c r="F629" s="7" t="s">
        <v>3110</v>
      </c>
      <c r="G629" s="7" t="str">
        <f>T("嶽麓書社")</f>
        <v>嶽麓書社</v>
      </c>
      <c r="H629" s="7" t="str">
        <f t="shared" ref="H629:H637" si="31">T("")</f>
        <v/>
      </c>
      <c r="I629" s="7">
        <v>160</v>
      </c>
      <c r="J629" s="7">
        <v>960</v>
      </c>
      <c r="K629" s="9" t="s">
        <v>1334</v>
      </c>
    </row>
    <row r="630" spans="1:11" x14ac:dyDescent="0.25">
      <c r="A630" s="5">
        <v>623</v>
      </c>
      <c r="B630" s="5">
        <v>175</v>
      </c>
      <c r="C630" s="10" t="s">
        <v>1225</v>
      </c>
      <c r="D630" s="7" t="s">
        <v>1940</v>
      </c>
      <c r="E630" s="8" t="str">
        <f>T("暴露還是遮羞?")</f>
        <v>暴露還是遮羞?</v>
      </c>
      <c r="F630" s="7" t="s">
        <v>1312</v>
      </c>
      <c r="G630" s="7" t="str">
        <f>T("上海書畫")</f>
        <v>上海書畫</v>
      </c>
      <c r="H630" s="7" t="str">
        <f t="shared" si="31"/>
        <v/>
      </c>
      <c r="I630" s="7">
        <v>30</v>
      </c>
      <c r="J630" s="7">
        <v>180</v>
      </c>
      <c r="K630" s="9" t="s">
        <v>1334</v>
      </c>
    </row>
    <row r="631" spans="1:11" x14ac:dyDescent="0.25">
      <c r="A631" s="5">
        <v>624</v>
      </c>
      <c r="B631" s="5">
        <v>176</v>
      </c>
      <c r="C631" s="10" t="s">
        <v>1228</v>
      </c>
      <c r="D631" s="7" t="s">
        <v>1941</v>
      </c>
      <c r="E631" s="8" t="str">
        <f>T("創意行銷˙手繪POP基礎")</f>
        <v>創意行銷˙手繪POP基礎</v>
      </c>
      <c r="F631" s="7" t="s">
        <v>3111</v>
      </c>
      <c r="G631" s="7" t="str">
        <f>T("")</f>
        <v/>
      </c>
      <c r="H631" s="7" t="str">
        <f t="shared" si="31"/>
        <v/>
      </c>
      <c r="I631" s="7">
        <v>33</v>
      </c>
      <c r="J631" s="7">
        <v>198</v>
      </c>
      <c r="K631" s="9" t="s">
        <v>1334</v>
      </c>
    </row>
    <row r="632" spans="1:11" x14ac:dyDescent="0.25">
      <c r="A632" s="5">
        <v>625</v>
      </c>
      <c r="B632" s="5">
        <v>177</v>
      </c>
      <c r="C632" s="10" t="s">
        <v>1229</v>
      </c>
      <c r="D632" s="7" t="s">
        <v>1942</v>
      </c>
      <c r="E632" s="8" t="str">
        <f>T("建設新中國")</f>
        <v>建設新中國</v>
      </c>
      <c r="F632" s="7" t="s">
        <v>3112</v>
      </c>
      <c r="G632" s="7" t="str">
        <f>T("")</f>
        <v/>
      </c>
      <c r="H632" s="7" t="str">
        <f t="shared" si="31"/>
        <v/>
      </c>
      <c r="I632" s="7">
        <v>190</v>
      </c>
      <c r="J632" s="7">
        <v>1140</v>
      </c>
      <c r="K632" s="9" t="s">
        <v>1334</v>
      </c>
    </row>
    <row r="633" spans="1:11" x14ac:dyDescent="0.25">
      <c r="A633" s="5">
        <v>626</v>
      </c>
      <c r="B633" s="5">
        <v>178</v>
      </c>
      <c r="C633" s="10" t="s">
        <v>242</v>
      </c>
      <c r="D633" s="7" t="s">
        <v>1943</v>
      </c>
      <c r="E633" s="8" t="str">
        <f>T("服飾繪畫:創意篇")</f>
        <v>服飾繪畫:創意篇</v>
      </c>
      <c r="F633" s="7" t="s">
        <v>3113</v>
      </c>
      <c r="G633" s="7" t="str">
        <f>T("上海書店")</f>
        <v>上海書店</v>
      </c>
      <c r="H633" s="7" t="str">
        <f t="shared" si="31"/>
        <v/>
      </c>
      <c r="I633" s="7">
        <v>36</v>
      </c>
      <c r="J633" s="7">
        <v>216</v>
      </c>
      <c r="K633" s="9" t="s">
        <v>1334</v>
      </c>
    </row>
    <row r="634" spans="1:11" x14ac:dyDescent="0.25">
      <c r="A634" s="5">
        <v>627</v>
      </c>
      <c r="B634" s="5">
        <v>179</v>
      </c>
      <c r="C634" s="10" t="s">
        <v>243</v>
      </c>
      <c r="D634" s="7" t="s">
        <v>1944</v>
      </c>
      <c r="E634" s="8" t="str">
        <f>T("服飾創意:製作篇")</f>
        <v>服飾創意:製作篇</v>
      </c>
      <c r="F634" s="7" t="s">
        <v>3113</v>
      </c>
      <c r="G634" s="7" t="str">
        <f>T("上海書店")</f>
        <v>上海書店</v>
      </c>
      <c r="H634" s="7" t="str">
        <f t="shared" si="31"/>
        <v/>
      </c>
      <c r="I634" s="7">
        <v>45</v>
      </c>
      <c r="J634" s="7">
        <v>270</v>
      </c>
      <c r="K634" s="9" t="s">
        <v>1334</v>
      </c>
    </row>
    <row r="635" spans="1:11" x14ac:dyDescent="0.25">
      <c r="A635" s="5">
        <v>628</v>
      </c>
      <c r="B635" s="5">
        <v>180</v>
      </c>
      <c r="C635" s="10" t="s">
        <v>1237</v>
      </c>
      <c r="D635" s="7" t="s">
        <v>1945</v>
      </c>
      <c r="E635" s="8" t="str">
        <f>T("中國帳鉤賞玩")</f>
        <v>中國帳鉤賞玩</v>
      </c>
      <c r="F635" s="7" t="s">
        <v>3114</v>
      </c>
      <c r="G635" s="7" t="str">
        <f>T("浙江攝影")</f>
        <v>浙江攝影</v>
      </c>
      <c r="H635" s="7" t="str">
        <f t="shared" si="31"/>
        <v/>
      </c>
      <c r="I635" s="7">
        <v>26</v>
      </c>
      <c r="J635" s="7">
        <v>156</v>
      </c>
      <c r="K635" s="9" t="s">
        <v>1334</v>
      </c>
    </row>
    <row r="636" spans="1:11" x14ac:dyDescent="0.25">
      <c r="A636" s="5">
        <v>629</v>
      </c>
      <c r="B636" s="5">
        <v>181</v>
      </c>
      <c r="C636" s="10" t="s">
        <v>246</v>
      </c>
      <c r="D636" s="7" t="s">
        <v>1946</v>
      </c>
      <c r="E636" s="8" t="str">
        <f>T("中國淺絳彩瓷畫賞玩")</f>
        <v>中國淺絳彩瓷畫賞玩</v>
      </c>
      <c r="F636" s="7" t="s">
        <v>1312</v>
      </c>
      <c r="G636" s="7" t="str">
        <f>T("浙江攝影")</f>
        <v>浙江攝影</v>
      </c>
      <c r="H636" s="7" t="str">
        <f t="shared" si="31"/>
        <v/>
      </c>
      <c r="I636" s="7">
        <v>29</v>
      </c>
      <c r="J636" s="7">
        <v>174</v>
      </c>
      <c r="K636" s="9" t="s">
        <v>1334</v>
      </c>
    </row>
    <row r="637" spans="1:11" x14ac:dyDescent="0.25">
      <c r="A637" s="5">
        <v>630</v>
      </c>
      <c r="B637" s="5">
        <v>182</v>
      </c>
      <c r="C637" s="10" t="s">
        <v>1238</v>
      </c>
      <c r="D637" s="7" t="s">
        <v>1947</v>
      </c>
      <c r="E637" s="8" t="str">
        <f>T("中國清代彩繪瓷畫賞玩")</f>
        <v>中國清代彩繪瓷畫賞玩</v>
      </c>
      <c r="F637" s="7" t="s">
        <v>1312</v>
      </c>
      <c r="G637" s="7" t="str">
        <f>T("浙江攝影")</f>
        <v>浙江攝影</v>
      </c>
      <c r="H637" s="7" t="str">
        <f t="shared" si="31"/>
        <v/>
      </c>
      <c r="I637" s="7">
        <v>35</v>
      </c>
      <c r="J637" s="7">
        <v>210</v>
      </c>
      <c r="K637" s="9" t="s">
        <v>1334</v>
      </c>
    </row>
    <row r="638" spans="1:11" x14ac:dyDescent="0.25">
      <c r="A638" s="5">
        <v>631</v>
      </c>
      <c r="B638" s="5">
        <v>183</v>
      </c>
      <c r="C638" s="10" t="s">
        <v>1241</v>
      </c>
      <c r="D638" s="7" t="s">
        <v>1948</v>
      </c>
      <c r="E638" s="8" t="str">
        <f>T("青田石鑒賞與投資(CXWY)")</f>
        <v>青田石鑒賞與投資(CXWY)</v>
      </c>
      <c r="F638" s="7" t="s">
        <v>3115</v>
      </c>
      <c r="G638" s="7" t="str">
        <f>T("海潮攝影")</f>
        <v>海潮攝影</v>
      </c>
      <c r="H638" s="7" t="str">
        <f>T("20090501")</f>
        <v>20090501</v>
      </c>
      <c r="I638" s="7">
        <v>78</v>
      </c>
      <c r="J638" s="7">
        <v>468</v>
      </c>
      <c r="K638" s="9" t="s">
        <v>1334</v>
      </c>
    </row>
    <row r="639" spans="1:11" x14ac:dyDescent="0.25">
      <c r="A639" s="5">
        <v>632</v>
      </c>
      <c r="B639" s="5">
        <v>184</v>
      </c>
      <c r="C639" s="10" t="s">
        <v>1245</v>
      </c>
      <c r="D639" s="7" t="s">
        <v>1949</v>
      </c>
      <c r="E639" s="8" t="str">
        <f>T("揚州八刻")</f>
        <v>揚州八刻</v>
      </c>
      <c r="F639" s="7" t="s">
        <v>3116</v>
      </c>
      <c r="G639" s="7" t="str">
        <f>T("廣陵書社")</f>
        <v>廣陵書社</v>
      </c>
      <c r="H639" s="7" t="str">
        <f>T("20061201")</f>
        <v>20061201</v>
      </c>
      <c r="I639" s="7">
        <v>150</v>
      </c>
      <c r="J639" s="7">
        <v>900</v>
      </c>
      <c r="K639" s="9" t="s">
        <v>1334</v>
      </c>
    </row>
    <row r="640" spans="1:11" x14ac:dyDescent="0.25">
      <c r="A640" s="5">
        <v>633</v>
      </c>
      <c r="B640" s="5">
        <v>185</v>
      </c>
      <c r="C640" s="10" t="s">
        <v>1248</v>
      </c>
      <c r="D640" s="7" t="s">
        <v>1950</v>
      </c>
      <c r="E640" s="8" t="str">
        <f>T("維揚一枝花--揚州劇場藝術")</f>
        <v>維揚一枝花--揚州劇場藝術</v>
      </c>
      <c r="F640" s="7" t="s">
        <v>3117</v>
      </c>
      <c r="G640" s="7" t="str">
        <f>T("廣陵書社")</f>
        <v>廣陵書社</v>
      </c>
      <c r="H640" s="7" t="str">
        <f>T("20090901")</f>
        <v>20090901</v>
      </c>
      <c r="I640" s="7">
        <v>36</v>
      </c>
      <c r="J640" s="7">
        <v>216</v>
      </c>
      <c r="K640" s="9" t="s">
        <v>1334</v>
      </c>
    </row>
    <row r="641" spans="1:11" x14ac:dyDescent="0.25">
      <c r="A641" s="5">
        <v>634</v>
      </c>
      <c r="B641" s="5">
        <v>186</v>
      </c>
      <c r="C641" s="10" t="s">
        <v>1249</v>
      </c>
      <c r="D641" s="7" t="s">
        <v>1951</v>
      </c>
      <c r="E641" s="8" t="str">
        <f>T("笑談古今事--揚州評話藝術")</f>
        <v>笑談古今事--揚州評話藝術</v>
      </c>
      <c r="F641" s="7" t="s">
        <v>3118</v>
      </c>
      <c r="G641" s="7" t="str">
        <f>T("廣陵書社")</f>
        <v>廣陵書社</v>
      </c>
      <c r="H641" s="7" t="str">
        <f>T("20090901")</f>
        <v>20090901</v>
      </c>
      <c r="I641" s="7">
        <v>36</v>
      </c>
      <c r="J641" s="7">
        <v>216</v>
      </c>
      <c r="K641" s="9" t="s">
        <v>1334</v>
      </c>
    </row>
    <row r="642" spans="1:11" x14ac:dyDescent="0.25">
      <c r="A642" s="5">
        <v>635</v>
      </c>
      <c r="B642" s="5">
        <v>187</v>
      </c>
      <c r="C642" s="10" t="s">
        <v>1250</v>
      </c>
      <c r="D642" s="7" t="s">
        <v>1952</v>
      </c>
      <c r="E642" s="8" t="str">
        <f>T("魁儡演真情--揚州木偶藝術")</f>
        <v>魁儡演真情--揚州木偶藝術</v>
      </c>
      <c r="F642" s="7" t="s">
        <v>3119</v>
      </c>
      <c r="G642" s="7" t="str">
        <f>T("廣陵書社")</f>
        <v>廣陵書社</v>
      </c>
      <c r="H642" s="7" t="str">
        <f>T("20090901")</f>
        <v>20090901</v>
      </c>
      <c r="I642" s="7">
        <v>36</v>
      </c>
      <c r="J642" s="7">
        <v>216</v>
      </c>
      <c r="K642" s="9" t="s">
        <v>1334</v>
      </c>
    </row>
    <row r="643" spans="1:11" x14ac:dyDescent="0.25">
      <c r="A643" s="5">
        <v>636</v>
      </c>
      <c r="B643" s="5">
        <v>188</v>
      </c>
      <c r="C643" s="10" t="s">
        <v>357</v>
      </c>
      <c r="D643" s="7" t="s">
        <v>1953</v>
      </c>
      <c r="E643" s="8" t="str">
        <f>T("古人妻孥·閨房獨繡")</f>
        <v>古人妻孥·閨房獨繡</v>
      </c>
      <c r="F643" s="7" t="s">
        <v>3120</v>
      </c>
      <c r="G643" s="7" t="str">
        <f>T("浙江古籍")</f>
        <v>浙江古籍</v>
      </c>
      <c r="H643" s="7" t="str">
        <f>T("20070401")</f>
        <v>20070401</v>
      </c>
      <c r="I643" s="7">
        <v>28</v>
      </c>
      <c r="J643" s="7">
        <v>168</v>
      </c>
      <c r="K643" s="9" t="s">
        <v>1334</v>
      </c>
    </row>
    <row r="644" spans="1:11" x14ac:dyDescent="0.25">
      <c r="A644" s="5">
        <v>637</v>
      </c>
      <c r="B644" s="5">
        <v>189</v>
      </c>
      <c r="C644" s="10" t="s">
        <v>1267</v>
      </c>
      <c r="D644" s="7" t="s">
        <v>1954</v>
      </c>
      <c r="E644" s="8" t="str">
        <f>T("古人金屬·銅錫鐵器")</f>
        <v>古人金屬·銅錫鐵器</v>
      </c>
      <c r="F644" s="7" t="s">
        <v>3120</v>
      </c>
      <c r="G644" s="7" t="str">
        <f>T("浙江古籍")</f>
        <v>浙江古籍</v>
      </c>
      <c r="H644" s="7" t="str">
        <f>T("20070401")</f>
        <v>20070401</v>
      </c>
      <c r="I644" s="7">
        <v>28</v>
      </c>
      <c r="J644" s="7">
        <v>168</v>
      </c>
      <c r="K644" s="9" t="s">
        <v>1334</v>
      </c>
    </row>
    <row r="645" spans="1:11" x14ac:dyDescent="0.25">
      <c r="A645" s="5">
        <v>638</v>
      </c>
      <c r="B645" s="5">
        <v>190</v>
      </c>
      <c r="C645" s="10" t="s">
        <v>1268</v>
      </c>
      <c r="D645" s="7" t="s">
        <v>1955</v>
      </c>
      <c r="E645" s="8" t="str">
        <f>T("古人之雕·維石見長")</f>
        <v>古人之雕·維石見長</v>
      </c>
      <c r="F645" s="7" t="s">
        <v>3120</v>
      </c>
      <c r="G645" s="7" t="str">
        <f>T("浙江古籍")</f>
        <v>浙江古籍</v>
      </c>
      <c r="H645" s="7" t="str">
        <f>T("20070401")</f>
        <v>20070401</v>
      </c>
      <c r="I645" s="7">
        <v>28</v>
      </c>
      <c r="J645" s="7">
        <v>168</v>
      </c>
      <c r="K645" s="9" t="s">
        <v>1334</v>
      </c>
    </row>
    <row r="646" spans="1:11" x14ac:dyDescent="0.25">
      <c r="A646" s="5">
        <v>639</v>
      </c>
      <c r="B646" s="5">
        <v>191</v>
      </c>
      <c r="C646" s="10" t="s">
        <v>358</v>
      </c>
      <c r="D646" s="7" t="s">
        <v>1956</v>
      </c>
      <c r="E646" s="8" t="str">
        <f>T("古人鑄寶·金銀佩飾")</f>
        <v>古人鑄寶·金銀佩飾</v>
      </c>
      <c r="F646" s="7" t="s">
        <v>3120</v>
      </c>
      <c r="G646" s="7" t="str">
        <f>T("浙江古籍")</f>
        <v>浙江古籍</v>
      </c>
      <c r="H646" s="7" t="str">
        <f>T("20070401")</f>
        <v>20070401</v>
      </c>
      <c r="I646" s="7">
        <v>28</v>
      </c>
      <c r="J646" s="7">
        <v>168</v>
      </c>
      <c r="K646" s="9" t="s">
        <v>1334</v>
      </c>
    </row>
    <row r="647" spans="1:11" x14ac:dyDescent="0.25">
      <c r="A647" s="5">
        <v>640</v>
      </c>
      <c r="B647" s="5">
        <v>192</v>
      </c>
      <c r="C647" s="10" t="s">
        <v>1269</v>
      </c>
      <c r="D647" s="7" t="s">
        <v>1957</v>
      </c>
      <c r="E647" s="8" t="str">
        <f>T("陳振濂談中國繪畫史3.元末-明")</f>
        <v>陳振濂談中國繪畫史3.元末-明</v>
      </c>
      <c r="F647" s="7" t="s">
        <v>3121</v>
      </c>
      <c r="G647" s="7" t="str">
        <f>T("浙江古籍")</f>
        <v>浙江古籍</v>
      </c>
      <c r="H647" s="7" t="str">
        <f>T("20070901")</f>
        <v>20070901</v>
      </c>
      <c r="I647" s="7">
        <v>38</v>
      </c>
      <c r="J647" s="7">
        <v>228</v>
      </c>
      <c r="K647" s="9" t="s">
        <v>1334</v>
      </c>
    </row>
    <row r="648" spans="1:11" x14ac:dyDescent="0.25">
      <c r="A648" s="5">
        <v>641</v>
      </c>
      <c r="B648" s="5">
        <v>193</v>
      </c>
      <c r="C648" s="10" t="s">
        <v>1273</v>
      </c>
      <c r="D648" s="7" t="s">
        <v>1958</v>
      </c>
      <c r="E648" s="8" t="str">
        <f>T("陳琪中國畫書法小品集")</f>
        <v>陳琪中國畫書法小品集</v>
      </c>
      <c r="F648" s="7" t="s">
        <v>3122</v>
      </c>
      <c r="G648" s="7" t="str">
        <f t="shared" ref="G648:G650" si="32">T("上海書畫")</f>
        <v>上海書畫</v>
      </c>
      <c r="H648" s="7" t="str">
        <f>T("20070101")</f>
        <v>20070101</v>
      </c>
      <c r="I648" s="7">
        <v>180</v>
      </c>
      <c r="J648" s="7">
        <v>1080</v>
      </c>
      <c r="K648" s="9" t="s">
        <v>1334</v>
      </c>
    </row>
    <row r="649" spans="1:11" x14ac:dyDescent="0.25">
      <c r="A649" s="5">
        <v>642</v>
      </c>
      <c r="B649" s="5">
        <v>194</v>
      </c>
      <c r="C649" s="10" t="s">
        <v>1274</v>
      </c>
      <c r="D649" s="7" t="s">
        <v>1959</v>
      </c>
      <c r="E649" s="8" t="str">
        <f>T("面對中國畫")</f>
        <v>面對中國畫</v>
      </c>
      <c r="F649" s="7" t="s">
        <v>3123</v>
      </c>
      <c r="G649" s="7" t="str">
        <f t="shared" si="32"/>
        <v>上海書畫</v>
      </c>
      <c r="H649" s="7" t="str">
        <f>T("20020801")</f>
        <v>20020801</v>
      </c>
      <c r="I649" s="7">
        <v>28</v>
      </c>
      <c r="J649" s="7">
        <v>168</v>
      </c>
      <c r="K649" s="9" t="s">
        <v>1334</v>
      </c>
    </row>
    <row r="650" spans="1:11" x14ac:dyDescent="0.25">
      <c r="A650" s="5">
        <v>643</v>
      </c>
      <c r="B650" s="5">
        <v>195</v>
      </c>
      <c r="C650" s="10" t="s">
        <v>1275</v>
      </c>
      <c r="D650" s="7" t="s">
        <v>1960</v>
      </c>
      <c r="E650" s="8" t="str">
        <f>T("中國花鳥畫通鑒（1）")</f>
        <v>中國花鳥畫通鑒（1）</v>
      </c>
      <c r="F650" s="7" t="s">
        <v>3123</v>
      </c>
      <c r="G650" s="7" t="str">
        <f t="shared" si="32"/>
        <v>上海書畫</v>
      </c>
      <c r="H650" s="7" t="str">
        <f t="shared" ref="H650" si="33">T("20081201")</f>
        <v>20081201</v>
      </c>
      <c r="I650" s="7">
        <v>60</v>
      </c>
      <c r="J650" s="7">
        <v>360</v>
      </c>
      <c r="K650" s="9" t="s">
        <v>1334</v>
      </c>
    </row>
    <row r="651" spans="1:11" ht="28.5" x14ac:dyDescent="0.25">
      <c r="A651" s="5">
        <v>644</v>
      </c>
      <c r="B651" s="5">
        <v>196</v>
      </c>
      <c r="C651" s="10" t="s">
        <v>1289</v>
      </c>
      <c r="D651" s="7" t="s">
        <v>1961</v>
      </c>
      <c r="E651" s="8" t="str">
        <f>T("國畫形式美學的展開-大學繪畫藝術形式與技巧的專業訓練系統")</f>
        <v>國畫形式美學的展開-大學繪畫藝術形式與技巧的專業訓練系統</v>
      </c>
      <c r="F651" s="7" t="s">
        <v>3121</v>
      </c>
      <c r="G651" s="7" t="str">
        <f>T("西泠印社")</f>
        <v>西泠印社</v>
      </c>
      <c r="H651" s="7" t="str">
        <f>T("20080301")</f>
        <v>20080301</v>
      </c>
      <c r="I651" s="7">
        <v>85</v>
      </c>
      <c r="J651" s="7">
        <v>510</v>
      </c>
      <c r="K651" s="9" t="s">
        <v>1334</v>
      </c>
    </row>
    <row r="652" spans="1:11" x14ac:dyDescent="0.25">
      <c r="A652" s="5">
        <v>645</v>
      </c>
      <c r="B652" s="5">
        <v>197</v>
      </c>
      <c r="C652" s="10" t="s">
        <v>1290</v>
      </c>
      <c r="D652" s="7" t="s">
        <v>1962</v>
      </c>
      <c r="E652" s="8" t="str">
        <f>T("碑帖善本精華.袁安碑.袁敞碑")</f>
        <v>碑帖善本精華.袁安碑.袁敞碑</v>
      </c>
      <c r="F652" s="7" t="s">
        <v>1962</v>
      </c>
      <c r="G652" s="7" t="str">
        <f>T("西泠印社")</f>
        <v>西泠印社</v>
      </c>
      <c r="H652" s="7" t="str">
        <f>T("")</f>
        <v/>
      </c>
      <c r="I652" s="7">
        <v>105</v>
      </c>
      <c r="J652" s="7">
        <v>630</v>
      </c>
      <c r="K652" s="9" t="s">
        <v>1334</v>
      </c>
    </row>
    <row r="653" spans="1:11" x14ac:dyDescent="0.25">
      <c r="A653" s="5">
        <v>646</v>
      </c>
      <c r="B653" s="5">
        <v>198</v>
      </c>
      <c r="C653" s="10" t="s">
        <v>1296</v>
      </c>
      <c r="D653" s="7" t="s">
        <v>1963</v>
      </c>
      <c r="E653" s="8" t="str">
        <f>T("世博徽：世博會歷史變遷與歷屆紀念章")</f>
        <v>世博徽：世博會歷史變遷與歷屆紀念章</v>
      </c>
      <c r="F653" s="7" t="s">
        <v>3124</v>
      </c>
      <c r="G653" s="7" t="str">
        <f>T("廣西師範大")</f>
        <v>廣西師範大</v>
      </c>
      <c r="H653" s="7" t="str">
        <f>T("20060701")</f>
        <v>20060701</v>
      </c>
      <c r="I653" s="7">
        <v>49</v>
      </c>
      <c r="J653" s="7">
        <v>294</v>
      </c>
      <c r="K653" s="9" t="s">
        <v>1334</v>
      </c>
    </row>
    <row r="654" spans="1:11" x14ac:dyDescent="0.25">
      <c r="A654" s="5">
        <v>647</v>
      </c>
      <c r="B654" s="5">
        <v>199</v>
      </c>
      <c r="C654" s="10" t="s">
        <v>1299</v>
      </c>
      <c r="D654" s="7" t="s">
        <v>1964</v>
      </c>
      <c r="E654" s="8" t="str">
        <f>T("中國戲劇論辯（上下）")</f>
        <v>中國戲劇論辯（上下）</v>
      </c>
      <c r="F654" s="7" t="s">
        <v>3125</v>
      </c>
      <c r="G654" s="7" t="str">
        <f>T("百花洲文藝")</f>
        <v>百花洲文藝</v>
      </c>
      <c r="H654" s="7" t="str">
        <f>T("20070401")</f>
        <v>20070401</v>
      </c>
      <c r="I654" s="7">
        <v>79.8</v>
      </c>
      <c r="J654" s="7">
        <v>479</v>
      </c>
      <c r="K654" s="9" t="s">
        <v>1334</v>
      </c>
    </row>
    <row r="655" spans="1:11" x14ac:dyDescent="0.25">
      <c r="A655" s="5">
        <v>648</v>
      </c>
      <c r="B655" s="5">
        <v>200</v>
      </c>
      <c r="C655" s="10" t="s">
        <v>1300</v>
      </c>
      <c r="D655" s="7" t="s">
        <v>1965</v>
      </c>
      <c r="E655" s="8" t="str">
        <f>T("中國美術論辯(上下)(平)")</f>
        <v>中國美術論辯(上下)(平)</v>
      </c>
      <c r="F655" s="7" t="s">
        <v>3126</v>
      </c>
      <c r="G655" s="7" t="str">
        <f>T("百花洲文藝")</f>
        <v>百花洲文藝</v>
      </c>
      <c r="H655" s="7" t="str">
        <f>T("20080601")</f>
        <v>20080601</v>
      </c>
      <c r="I655" s="7">
        <v>60.8</v>
      </c>
      <c r="J655" s="7">
        <v>365</v>
      </c>
      <c r="K655" s="9" t="s">
        <v>1334</v>
      </c>
    </row>
    <row r="656" spans="1:11" x14ac:dyDescent="0.25">
      <c r="A656" s="5">
        <v>649</v>
      </c>
      <c r="B656" s="5">
        <v>201</v>
      </c>
      <c r="C656" s="10" t="s">
        <v>1120</v>
      </c>
      <c r="D656" s="7" t="s">
        <v>1966</v>
      </c>
      <c r="E656" s="8" t="str">
        <f>T("紡織藝術的演變-紡織藝術")</f>
        <v>紡織藝術的演變-紡織藝術</v>
      </c>
      <c r="F656" s="7" t="s">
        <v>2970</v>
      </c>
      <c r="G656" s="7" t="str">
        <f>T("百花洲文藝")</f>
        <v>百花洲文藝</v>
      </c>
      <c r="H656" s="7" t="str">
        <f>T("20090801")</f>
        <v>20090801</v>
      </c>
      <c r="I656" s="7">
        <v>19.8</v>
      </c>
      <c r="J656" s="7">
        <v>119</v>
      </c>
      <c r="K656" s="9" t="s">
        <v>1334</v>
      </c>
    </row>
    <row r="657" spans="1:11" x14ac:dyDescent="0.25">
      <c r="A657" s="5">
        <v>650</v>
      </c>
      <c r="B657" s="5">
        <v>202</v>
      </c>
      <c r="C657" s="10" t="s">
        <v>255</v>
      </c>
      <c r="D657" s="7" t="s">
        <v>1967</v>
      </c>
      <c r="E657" s="8" t="str">
        <f>T("我眼中的烏魯木齊")</f>
        <v>我眼中的烏魯木齊</v>
      </c>
      <c r="F657" s="7" t="s">
        <v>1962</v>
      </c>
      <c r="G657" s="7" t="str">
        <f>T("新疆美攝")</f>
        <v>新疆美攝</v>
      </c>
      <c r="H657" s="7" t="str">
        <f>T("20080201")</f>
        <v>20080201</v>
      </c>
      <c r="I657" s="7">
        <v>188</v>
      </c>
      <c r="J657" s="7">
        <v>1128</v>
      </c>
      <c r="K657" s="9" t="s">
        <v>1334</v>
      </c>
    </row>
    <row r="658" spans="1:11" x14ac:dyDescent="0.25">
      <c r="A658" s="5">
        <v>651</v>
      </c>
      <c r="B658" s="5">
        <v>203</v>
      </c>
      <c r="C658" s="10" t="s">
        <v>256</v>
      </c>
      <c r="D658" s="7" t="s">
        <v>1968</v>
      </c>
      <c r="E658" s="8" t="str">
        <f>T("新疆情韻")</f>
        <v>新疆情韻</v>
      </c>
      <c r="F658" s="7" t="s">
        <v>1962</v>
      </c>
      <c r="G658" s="7" t="str">
        <f>T("新疆美攝")</f>
        <v>新疆美攝</v>
      </c>
      <c r="H658" s="7" t="str">
        <f>T("20080201")</f>
        <v>20080201</v>
      </c>
      <c r="I658" s="7">
        <v>260</v>
      </c>
      <c r="J658" s="7">
        <v>1560</v>
      </c>
      <c r="K658" s="9" t="s">
        <v>1334</v>
      </c>
    </row>
    <row r="659" spans="1:11" x14ac:dyDescent="0.25">
      <c r="A659" s="5">
        <v>652</v>
      </c>
      <c r="B659" s="5">
        <v>204</v>
      </c>
      <c r="C659" s="10" t="s">
        <v>257</v>
      </c>
      <c r="D659" s="7" t="s">
        <v>1969</v>
      </c>
      <c r="E659" s="8" t="str">
        <f>T("中國新疆奇石鑑賞與投資")</f>
        <v>中國新疆奇石鑑賞與投資</v>
      </c>
      <c r="F659" s="7" t="s">
        <v>1962</v>
      </c>
      <c r="G659" s="7" t="str">
        <f>T("新疆美攝")</f>
        <v>新疆美攝</v>
      </c>
      <c r="H659" s="7" t="str">
        <f>T("20080101")</f>
        <v>20080101</v>
      </c>
      <c r="I659" s="7">
        <v>48</v>
      </c>
      <c r="J659" s="7">
        <v>288</v>
      </c>
      <c r="K659" s="9" t="s">
        <v>1334</v>
      </c>
    </row>
    <row r="660" spans="1:11" x14ac:dyDescent="0.25">
      <c r="A660" s="5">
        <v>653</v>
      </c>
      <c r="B660" s="5">
        <v>205</v>
      </c>
      <c r="C660" s="10" t="s">
        <v>1126</v>
      </c>
      <c r="D660" s="7" t="s">
        <v>1970</v>
      </c>
      <c r="E660" s="8" t="str">
        <f>T("世博會獎牌收藏與鑒賞")</f>
        <v>世博會獎牌收藏與鑒賞</v>
      </c>
      <c r="F660" s="7" t="s">
        <v>3127</v>
      </c>
      <c r="G660" s="7" t="str">
        <f>T("上海社科")</f>
        <v>上海社科</v>
      </c>
      <c r="H660" s="7" t="str">
        <f>T("20090401")</f>
        <v>20090401</v>
      </c>
      <c r="I660" s="7">
        <v>65</v>
      </c>
      <c r="J660" s="7">
        <v>390</v>
      </c>
      <c r="K660" s="9" t="s">
        <v>1334</v>
      </c>
    </row>
    <row r="661" spans="1:11" x14ac:dyDescent="0.25">
      <c r="A661" s="5">
        <v>654</v>
      </c>
      <c r="B661" s="5">
        <v>206</v>
      </c>
      <c r="C661" s="10" t="s">
        <v>1130</v>
      </c>
      <c r="D661" s="7" t="s">
        <v>1971</v>
      </c>
      <c r="E661" s="8" t="str">
        <f>T("熱血丹心鑄畫魂:韓樂然繪畫藝術展")</f>
        <v>熱血丹心鑄畫魂:韓樂然繪畫藝術展</v>
      </c>
      <c r="F661" s="7" t="s">
        <v>3128</v>
      </c>
      <c r="G661" s="7" t="str">
        <f>T("廣西美術")</f>
        <v>廣西美術</v>
      </c>
      <c r="H661" s="7" t="str">
        <f>T("20070401")</f>
        <v>20070401</v>
      </c>
      <c r="I661" s="7">
        <v>180</v>
      </c>
      <c r="J661" s="7">
        <v>1080</v>
      </c>
      <c r="K661" s="9" t="s">
        <v>1334</v>
      </c>
    </row>
    <row r="662" spans="1:11" x14ac:dyDescent="0.25">
      <c r="A662" s="5">
        <v>655</v>
      </c>
      <c r="B662" s="5">
        <v>207</v>
      </c>
      <c r="C662" s="10" t="s">
        <v>1131</v>
      </c>
      <c r="D662" s="7" t="s">
        <v>1972</v>
      </c>
      <c r="E662" s="8" t="str">
        <f>T("中國畫名家精品賞鑒")</f>
        <v>中國畫名家精品賞鑒</v>
      </c>
      <c r="F662" s="7" t="s">
        <v>3129</v>
      </c>
      <c r="G662" s="7" t="str">
        <f>T("廣西美術")</f>
        <v>廣西美術</v>
      </c>
      <c r="H662" s="7" t="str">
        <f>T("20090601")</f>
        <v>20090601</v>
      </c>
      <c r="I662" s="7">
        <v>48</v>
      </c>
      <c r="J662" s="7">
        <v>288</v>
      </c>
      <c r="K662" s="9" t="s">
        <v>1334</v>
      </c>
    </row>
    <row r="663" spans="1:11" x14ac:dyDescent="0.25">
      <c r="A663" s="5">
        <v>656</v>
      </c>
      <c r="B663" s="5">
        <v>208</v>
      </c>
      <c r="C663" s="10" t="s">
        <v>1172</v>
      </c>
      <c r="D663" s="7" t="s">
        <v>1973</v>
      </c>
      <c r="E663" s="8" t="str">
        <f>T("美學前沿.第3輯")</f>
        <v>美學前沿.第3輯</v>
      </c>
      <c r="F663" s="7" t="s">
        <v>3130</v>
      </c>
      <c r="G663" s="7" t="str">
        <f>T("傳媒大學")</f>
        <v>傳媒大學</v>
      </c>
      <c r="H663" s="7" t="str">
        <f>T("")</f>
        <v/>
      </c>
      <c r="I663" s="7">
        <v>38</v>
      </c>
      <c r="J663" s="7">
        <v>228</v>
      </c>
      <c r="K663" s="9" t="s">
        <v>1334</v>
      </c>
    </row>
    <row r="664" spans="1:11" x14ac:dyDescent="0.25">
      <c r="A664" s="5">
        <v>657</v>
      </c>
      <c r="B664" s="5">
        <v>209</v>
      </c>
      <c r="C664" s="10" t="s">
        <v>1174</v>
      </c>
      <c r="D664" s="7" t="s">
        <v>1974</v>
      </c>
      <c r="E664" s="8" t="str">
        <f>T("弄斧集－音樂史事門外譚")</f>
        <v>弄斧集－音樂史事門外譚</v>
      </c>
      <c r="F664" s="7" t="s">
        <v>3131</v>
      </c>
      <c r="G664" s="7" t="str">
        <f>T("中央音樂")</f>
        <v>中央音樂</v>
      </c>
      <c r="H664" s="7" t="str">
        <f>T("20051001")</f>
        <v>20051001</v>
      </c>
      <c r="I664" s="7">
        <v>29</v>
      </c>
      <c r="J664" s="7">
        <v>174</v>
      </c>
      <c r="K664" s="9" t="s">
        <v>1334</v>
      </c>
    </row>
    <row r="665" spans="1:11" x14ac:dyDescent="0.25">
      <c r="A665" s="5">
        <v>658</v>
      </c>
      <c r="B665" s="5">
        <v>210</v>
      </c>
      <c r="C665" s="10" t="s">
        <v>1175</v>
      </c>
      <c r="D665" s="7" t="s">
        <v>1975</v>
      </c>
      <c r="E665" s="8" t="str">
        <f>T("歌劇綜合美的當代呈現")</f>
        <v>歌劇綜合美的當代呈現</v>
      </c>
      <c r="F665" s="7" t="s">
        <v>3132</v>
      </c>
      <c r="G665" s="7" t="str">
        <f>T("中央音樂")</f>
        <v>中央音樂</v>
      </c>
      <c r="H665" s="7" t="str">
        <f>T("20060701")</f>
        <v>20060701</v>
      </c>
      <c r="I665" s="7">
        <v>28</v>
      </c>
      <c r="J665" s="7">
        <v>168</v>
      </c>
      <c r="K665" s="9" t="s">
        <v>1334</v>
      </c>
    </row>
    <row r="666" spans="1:11" x14ac:dyDescent="0.25">
      <c r="A666" s="5">
        <v>659</v>
      </c>
      <c r="B666" s="5">
        <v>211</v>
      </c>
      <c r="C666" s="10" t="s">
        <v>1177</v>
      </c>
      <c r="D666" s="7" t="s">
        <v>1976</v>
      </c>
      <c r="E666" s="8" t="str">
        <f>T("安徽民間傳統工藝禮贊")</f>
        <v>安徽民間傳統工藝禮贊</v>
      </c>
      <c r="F666" s="7" t="s">
        <v>3133</v>
      </c>
      <c r="G666" s="7" t="str">
        <f>T("安徽大學")</f>
        <v>安徽大學</v>
      </c>
      <c r="H666" s="7" t="str">
        <f>T("20100701")</f>
        <v>20100701</v>
      </c>
      <c r="I666" s="7">
        <v>20</v>
      </c>
      <c r="J666" s="7">
        <v>120</v>
      </c>
      <c r="K666" s="9" t="s">
        <v>1334</v>
      </c>
    </row>
    <row r="667" spans="1:11" x14ac:dyDescent="0.25">
      <c r="A667" s="5">
        <v>660</v>
      </c>
      <c r="B667" s="5">
        <v>212</v>
      </c>
      <c r="C667" s="10" t="s">
        <v>1180</v>
      </c>
      <c r="D667" s="7" t="s">
        <v>1977</v>
      </c>
      <c r="E667" s="8" t="str">
        <f>T("北京美術史(2冊)")</f>
        <v>北京美術史(2冊)</v>
      </c>
      <c r="F667" s="7" t="s">
        <v>3134</v>
      </c>
      <c r="G667" s="7" t="str">
        <f>T("首都師大")</f>
        <v>首都師大</v>
      </c>
      <c r="H667" s="7" t="str">
        <f>T("")</f>
        <v/>
      </c>
      <c r="I667" s="7">
        <v>180</v>
      </c>
      <c r="J667" s="7">
        <v>1080</v>
      </c>
      <c r="K667" s="9" t="s">
        <v>1334</v>
      </c>
    </row>
    <row r="668" spans="1:11" x14ac:dyDescent="0.25">
      <c r="A668" s="19" t="s">
        <v>1335</v>
      </c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ht="29.25" customHeight="1" x14ac:dyDescent="0.25">
      <c r="A669" s="5">
        <v>661</v>
      </c>
      <c r="B669" s="5">
        <v>1</v>
      </c>
      <c r="C669" s="10" t="s">
        <v>1085</v>
      </c>
      <c r="D669" s="7" t="s">
        <v>1978</v>
      </c>
      <c r="E669" s="8" t="str">
        <f>T("清初私家修史研究 :
 以史家群體為研究物件")</f>
        <v>清初私家修史研究 :
 以史家群體為研究物件</v>
      </c>
      <c r="F669" s="7" t="s">
        <v>3135</v>
      </c>
      <c r="G669" s="7" t="str">
        <f>T("人民文學")</f>
        <v>人民文學</v>
      </c>
      <c r="H669" s="7" t="str">
        <f>T("20080401")</f>
        <v>20080401</v>
      </c>
      <c r="I669" s="7">
        <v>38</v>
      </c>
      <c r="J669" s="7">
        <v>228</v>
      </c>
      <c r="K669" s="9" t="s">
        <v>1336</v>
      </c>
    </row>
    <row r="670" spans="1:11" x14ac:dyDescent="0.25">
      <c r="A670" s="5">
        <v>662</v>
      </c>
      <c r="B670" s="5">
        <v>2</v>
      </c>
      <c r="C670" s="10" t="s">
        <v>987</v>
      </c>
      <c r="D670" s="7" t="s">
        <v>1979</v>
      </c>
      <c r="E670" s="8" t="str">
        <f>T("端木蕻良手劄")</f>
        <v>端木蕻良手劄</v>
      </c>
      <c r="F670" s="7" t="s">
        <v>3136</v>
      </c>
      <c r="G670" s="7" t="str">
        <f>T("廣陵書社")</f>
        <v>廣陵書社</v>
      </c>
      <c r="H670" s="7" t="str">
        <f>T("20050101")</f>
        <v>20050101</v>
      </c>
      <c r="I670" s="7">
        <v>90</v>
      </c>
      <c r="J670" s="7">
        <v>540</v>
      </c>
      <c r="K670" s="9" t="s">
        <v>1336</v>
      </c>
    </row>
    <row r="671" spans="1:11" x14ac:dyDescent="0.25">
      <c r="A671" s="5">
        <v>663</v>
      </c>
      <c r="B671" s="5">
        <v>3</v>
      </c>
      <c r="C671" s="10" t="s">
        <v>595</v>
      </c>
      <c r="D671" s="7" t="s">
        <v>1980</v>
      </c>
      <c r="E671" s="8" t="str">
        <f>T("張之洞-唐浩明文集.張之洞(全三冊)")</f>
        <v>張之洞-唐浩明文集.張之洞(全三冊)</v>
      </c>
      <c r="F671" s="7" t="s">
        <v>3137</v>
      </c>
      <c r="G671" s="7" t="str">
        <f>T("人民文學")</f>
        <v>人民文學</v>
      </c>
      <c r="H671" s="7" t="str">
        <f>T("20020701")</f>
        <v>20020701</v>
      </c>
      <c r="I671" s="7">
        <v>110</v>
      </c>
      <c r="J671" s="7">
        <v>660</v>
      </c>
      <c r="K671" s="9" t="s">
        <v>1336</v>
      </c>
    </row>
    <row r="672" spans="1:11" x14ac:dyDescent="0.25">
      <c r="A672" s="5">
        <v>664</v>
      </c>
      <c r="B672" s="5">
        <v>4</v>
      </c>
      <c r="C672" s="10" t="s">
        <v>501</v>
      </c>
      <c r="D672" s="7" t="s">
        <v>1981</v>
      </c>
      <c r="E672" s="8" t="str">
        <f>T("歷史如此年輕-報人讀史劄記二集")</f>
        <v>歷史如此年輕-報人讀史劄記二集</v>
      </c>
      <c r="F672" s="7" t="s">
        <v>3138</v>
      </c>
      <c r="G672" s="7" t="str">
        <f>T("商務印書")</f>
        <v>商務印書</v>
      </c>
      <c r="H672" s="7" t="str">
        <f>T("20100301")</f>
        <v>20100301</v>
      </c>
      <c r="I672" s="7">
        <v>33</v>
      </c>
      <c r="J672" s="7">
        <v>198</v>
      </c>
      <c r="K672" s="9" t="s">
        <v>1336</v>
      </c>
    </row>
    <row r="673" spans="1:11" x14ac:dyDescent="0.25">
      <c r="A673" s="5">
        <v>665</v>
      </c>
      <c r="B673" s="5">
        <v>5</v>
      </c>
      <c r="C673" s="10" t="s">
        <v>452</v>
      </c>
      <c r="D673" s="7" t="s">
        <v>1982</v>
      </c>
      <c r="E673" s="8" t="str">
        <f>T("大明流煌")</f>
        <v>大明流煌</v>
      </c>
      <c r="F673" s="7" t="s">
        <v>3139</v>
      </c>
      <c r="G673" s="7" t="str">
        <f>T("中華書局")</f>
        <v>中華書局</v>
      </c>
      <c r="H673" s="7" t="str">
        <f>T("20100401")</f>
        <v>20100401</v>
      </c>
      <c r="I673" s="7">
        <v>18</v>
      </c>
      <c r="J673" s="7">
        <v>108</v>
      </c>
      <c r="K673" s="9" t="s">
        <v>1336</v>
      </c>
    </row>
    <row r="674" spans="1:11" x14ac:dyDescent="0.25">
      <c r="A674" s="5">
        <v>666</v>
      </c>
      <c r="B674" s="5">
        <v>6</v>
      </c>
      <c r="C674" s="10" t="s">
        <v>453</v>
      </c>
      <c r="D674" s="7" t="s">
        <v>1983</v>
      </c>
      <c r="E674" s="8" t="str">
        <f>T("睡獅覺醒")</f>
        <v>睡獅覺醒</v>
      </c>
      <c r="F674" s="7" t="s">
        <v>3140</v>
      </c>
      <c r="G674" s="7" t="str">
        <f>T("中華書局")</f>
        <v>中華書局</v>
      </c>
      <c r="H674" s="7" t="str">
        <f>T("20100401")</f>
        <v>20100401</v>
      </c>
      <c r="I674" s="7">
        <v>19</v>
      </c>
      <c r="J674" s="7">
        <v>114</v>
      </c>
      <c r="K674" s="9" t="s">
        <v>1336</v>
      </c>
    </row>
    <row r="675" spans="1:11" x14ac:dyDescent="0.25">
      <c r="A675" s="5">
        <v>667</v>
      </c>
      <c r="B675" s="5">
        <v>7</v>
      </c>
      <c r="C675" s="10" t="s">
        <v>454</v>
      </c>
      <c r="D675" s="7" t="s">
        <v>1984</v>
      </c>
      <c r="E675" s="8" t="str">
        <f>T("重振乾坤")</f>
        <v>重振乾坤</v>
      </c>
      <c r="F675" s="7" t="s">
        <v>3141</v>
      </c>
      <c r="G675" s="7" t="str">
        <f>T("中華書局")</f>
        <v>中華書局</v>
      </c>
      <c r="H675" s="7" t="str">
        <f>T("20100401")</f>
        <v>20100401</v>
      </c>
      <c r="I675" s="7">
        <v>15</v>
      </c>
      <c r="J675" s="7">
        <v>90</v>
      </c>
      <c r="K675" s="9" t="s">
        <v>1336</v>
      </c>
    </row>
    <row r="676" spans="1:11" x14ac:dyDescent="0.25">
      <c r="A676" s="5">
        <v>668</v>
      </c>
      <c r="B676" s="5">
        <v>8</v>
      </c>
      <c r="C676" s="10" t="s">
        <v>752</v>
      </c>
      <c r="D676" s="7" t="s">
        <v>1985</v>
      </c>
      <c r="E676" s="8" t="str">
        <f>T("伶人.武士.獵手--後唐莊宗李存勳傳")</f>
        <v>伶人.武士.獵手--後唐莊宗李存勳傳</v>
      </c>
      <c r="F676" s="7" t="s">
        <v>3142</v>
      </c>
      <c r="G676" s="7" t="str">
        <f>T("中華書局")</f>
        <v>中華書局</v>
      </c>
      <c r="H676" s="7" t="str">
        <f>T("20091101")</f>
        <v>20091101</v>
      </c>
      <c r="I676" s="7">
        <v>29</v>
      </c>
      <c r="J676" s="7">
        <v>174</v>
      </c>
      <c r="K676" s="9" t="s">
        <v>1336</v>
      </c>
    </row>
    <row r="677" spans="1:11" x14ac:dyDescent="0.25">
      <c r="A677" s="5">
        <v>669</v>
      </c>
      <c r="B677" s="5">
        <v>9</v>
      </c>
      <c r="C677" s="10" t="s">
        <v>860</v>
      </c>
      <c r="D677" s="7" t="s">
        <v>1986</v>
      </c>
      <c r="E677" s="8" t="str">
        <f>T("烽火與流星. 蕭梁王朝的文學與文化")</f>
        <v>烽火與流星. 蕭梁王朝的文學與文化</v>
      </c>
      <c r="F677" s="7" t="s">
        <v>3143</v>
      </c>
      <c r="G677" s="7" t="str">
        <f>T("中華書局")</f>
        <v>中華書局</v>
      </c>
      <c r="H677" s="7" t="str">
        <f>T("20100101")</f>
        <v>20100101</v>
      </c>
      <c r="I677" s="7">
        <v>48</v>
      </c>
      <c r="J677" s="7">
        <v>288</v>
      </c>
      <c r="K677" s="9" t="s">
        <v>1336</v>
      </c>
    </row>
    <row r="678" spans="1:11" x14ac:dyDescent="0.25">
      <c r="A678" s="5">
        <v>670</v>
      </c>
      <c r="B678" s="5">
        <v>10</v>
      </c>
      <c r="C678" s="10" t="s">
        <v>982</v>
      </c>
      <c r="D678" s="7" t="s">
        <v>1987</v>
      </c>
      <c r="E678" s="8" t="str">
        <f>T("大漢帝國風雲(伍)")</f>
        <v>大漢帝國風雲(伍)</v>
      </c>
      <c r="F678" s="7" t="s">
        <v>3144</v>
      </c>
      <c r="G678" s="7" t="str">
        <f>T("中國戲劇")</f>
        <v>中國戲劇</v>
      </c>
      <c r="H678" s="7" t="str">
        <f>T("20070501")</f>
        <v>20070501</v>
      </c>
      <c r="I678" s="7">
        <v>25</v>
      </c>
      <c r="J678" s="7">
        <v>150</v>
      </c>
      <c r="K678" s="9" t="s">
        <v>1336</v>
      </c>
    </row>
    <row r="679" spans="1:11" x14ac:dyDescent="0.25">
      <c r="A679" s="5">
        <v>671</v>
      </c>
      <c r="B679" s="5">
        <v>11</v>
      </c>
      <c r="C679" s="10" t="s">
        <v>984</v>
      </c>
      <c r="D679" s="7" t="s">
        <v>1988</v>
      </c>
      <c r="E679" s="8" t="str">
        <f>T("鐵血華年")</f>
        <v>鐵血華年</v>
      </c>
      <c r="F679" s="7" t="s">
        <v>3145</v>
      </c>
      <c r="G679" s="7" t="str">
        <f>T("中國戲劇")</f>
        <v>中國戲劇</v>
      </c>
      <c r="H679" s="7" t="str">
        <f>T("")</f>
        <v/>
      </c>
      <c r="I679" s="7">
        <v>29.8</v>
      </c>
      <c r="J679" s="7">
        <v>179</v>
      </c>
      <c r="K679" s="9" t="s">
        <v>1336</v>
      </c>
    </row>
    <row r="680" spans="1:11" x14ac:dyDescent="0.25">
      <c r="A680" s="5">
        <v>672</v>
      </c>
      <c r="B680" s="5">
        <v>12</v>
      </c>
      <c r="C680" s="10" t="s">
        <v>1049</v>
      </c>
      <c r="D680" s="7" t="s">
        <v>1989</v>
      </c>
      <c r="E680" s="8" t="str">
        <f>T("愛新覺羅·溥儀日記（上下）")</f>
        <v>愛新覺羅·溥儀日記（上下）</v>
      </c>
      <c r="F680" s="7" t="s">
        <v>3146</v>
      </c>
      <c r="G680" s="7" t="str">
        <f>T("天津人民")</f>
        <v>天津人民</v>
      </c>
      <c r="H680" s="7" t="str">
        <f>T("19960801")</f>
        <v>19960801</v>
      </c>
      <c r="I680" s="7">
        <v>99</v>
      </c>
      <c r="J680" s="7">
        <v>594</v>
      </c>
      <c r="K680" s="9" t="s">
        <v>1336</v>
      </c>
    </row>
    <row r="681" spans="1:11" x14ac:dyDescent="0.25">
      <c r="A681" s="5">
        <v>673</v>
      </c>
      <c r="B681" s="5">
        <v>13</v>
      </c>
      <c r="C681" s="10" t="s">
        <v>844</v>
      </c>
      <c r="D681" s="7" t="s">
        <v>1990</v>
      </c>
      <c r="E681" s="8" t="str">
        <f>T("史間道-1840-1949中國歷史的非常話語")</f>
        <v>史間道-1840-1949中國歷史的非常話語</v>
      </c>
      <c r="F681" s="7" t="s">
        <v>3147</v>
      </c>
      <c r="G681" s="7" t="str">
        <f>T("天津人民")</f>
        <v>天津人民</v>
      </c>
      <c r="H681" s="7" t="str">
        <f>T("20090401")</f>
        <v>20090401</v>
      </c>
      <c r="I681" s="7">
        <v>29</v>
      </c>
      <c r="J681" s="7">
        <v>174</v>
      </c>
      <c r="K681" s="9" t="s">
        <v>1336</v>
      </c>
    </row>
    <row r="682" spans="1:11" x14ac:dyDescent="0.25">
      <c r="A682" s="5">
        <v>674</v>
      </c>
      <c r="B682" s="5">
        <v>14</v>
      </c>
      <c r="C682" s="10" t="s">
        <v>850</v>
      </c>
      <c r="D682" s="7" t="s">
        <v>1991</v>
      </c>
      <c r="E682" s="8" t="str">
        <f>T("文化的江山（上下冊）")</f>
        <v>文化的江山（上下冊）</v>
      </c>
      <c r="F682" s="7" t="s">
        <v>3148</v>
      </c>
      <c r="G682" s="7" t="str">
        <f>T("山西人民")</f>
        <v>山西人民</v>
      </c>
      <c r="H682" s="7" t="str">
        <f>T("20091101")</f>
        <v>20091101</v>
      </c>
      <c r="I682" s="7">
        <v>58</v>
      </c>
      <c r="J682" s="7">
        <v>348</v>
      </c>
      <c r="K682" s="9" t="s">
        <v>1336</v>
      </c>
    </row>
    <row r="683" spans="1:11" x14ac:dyDescent="0.25">
      <c r="A683" s="5">
        <v>675</v>
      </c>
      <c r="B683" s="5">
        <v>15</v>
      </c>
      <c r="C683" s="10" t="s">
        <v>854</v>
      </c>
      <c r="D683" s="7" t="s">
        <v>1992</v>
      </c>
      <c r="E683" s="8" t="str">
        <f>T("追尋五帝：揭幕中國歷史紀元的開篇")</f>
        <v>追尋五帝：揭幕中國歷史紀元的開篇</v>
      </c>
      <c r="F683" s="7" t="s">
        <v>3149</v>
      </c>
      <c r="G683" s="7" t="str">
        <f>T("遼寧人民")</f>
        <v>遼寧人民</v>
      </c>
      <c r="H683" s="7" t="str">
        <f>T("20091201")</f>
        <v>20091201</v>
      </c>
      <c r="I683" s="7">
        <v>18</v>
      </c>
      <c r="J683" s="7">
        <v>108</v>
      </c>
      <c r="K683" s="9" t="s">
        <v>1336</v>
      </c>
    </row>
    <row r="684" spans="1:11" x14ac:dyDescent="0.25">
      <c r="A684" s="5">
        <v>676</v>
      </c>
      <c r="B684" s="5">
        <v>16</v>
      </c>
      <c r="C684" s="10" t="s">
        <v>855</v>
      </c>
      <c r="D684" s="7" t="s">
        <v>1993</v>
      </c>
      <c r="E684" s="8" t="str">
        <f>T("歷史洪流中奮鬥的故事")</f>
        <v>歷史洪流中奮鬥的故事</v>
      </c>
      <c r="F684" s="7" t="s">
        <v>3150</v>
      </c>
      <c r="G684" s="7" t="str">
        <f>T("遼寧人民")</f>
        <v>遼寧人民</v>
      </c>
      <c r="H684" s="7" t="str">
        <f>T("20100601")</f>
        <v>20100601</v>
      </c>
      <c r="I684" s="7">
        <v>18</v>
      </c>
      <c r="J684" s="7">
        <v>108</v>
      </c>
      <c r="K684" s="9" t="s">
        <v>1336</v>
      </c>
    </row>
    <row r="685" spans="1:11" x14ac:dyDescent="0.25">
      <c r="A685" s="5">
        <v>677</v>
      </c>
      <c r="B685" s="5">
        <v>17</v>
      </c>
      <c r="C685" s="10" t="s">
        <v>563</v>
      </c>
      <c r="D685" s="7" t="s">
        <v>1994</v>
      </c>
      <c r="E685" s="8" t="str">
        <f>T("漢高祖皇后呂雉傳")</f>
        <v>漢高祖皇后呂雉傳</v>
      </c>
      <c r="F685" s="7" t="s">
        <v>3151</v>
      </c>
      <c r="G685" s="7" t="str">
        <f>T("吉林人民")</f>
        <v>吉林人民</v>
      </c>
      <c r="H685" s="7" t="str">
        <f>T("20100601")</f>
        <v>20100601</v>
      </c>
      <c r="I685" s="7">
        <v>39.799999999999997</v>
      </c>
      <c r="J685" s="7">
        <v>239</v>
      </c>
      <c r="K685" s="9" t="s">
        <v>1336</v>
      </c>
    </row>
    <row r="686" spans="1:11" x14ac:dyDescent="0.25">
      <c r="A686" s="5">
        <v>678</v>
      </c>
      <c r="B686" s="5">
        <v>18</v>
      </c>
      <c r="C686" s="10" t="s">
        <v>328</v>
      </c>
      <c r="D686" s="7" t="s">
        <v>1995</v>
      </c>
      <c r="E686" s="8" t="str">
        <f>T("大人家")</f>
        <v>大人家</v>
      </c>
      <c r="F686" s="7" t="s">
        <v>3152</v>
      </c>
      <c r="G686" s="7" t="str">
        <f>T("上海人民")</f>
        <v>上海人民</v>
      </c>
      <c r="H686" s="7" t="str">
        <f>T("20070101")</f>
        <v>20070101</v>
      </c>
      <c r="I686" s="7">
        <v>32</v>
      </c>
      <c r="J686" s="7">
        <v>192</v>
      </c>
      <c r="K686" s="9" t="s">
        <v>1336</v>
      </c>
    </row>
    <row r="687" spans="1:11" x14ac:dyDescent="0.25">
      <c r="A687" s="5">
        <v>679</v>
      </c>
      <c r="B687" s="5">
        <v>19</v>
      </c>
      <c r="C687" s="10" t="s">
        <v>433</v>
      </c>
      <c r="D687" s="7" t="s">
        <v>1996</v>
      </c>
      <c r="E687" s="8" t="str">
        <f>T("齊魯之光：山東省中華著名烈士事蹟選 1")</f>
        <v>齊魯之光：山東省中華著名烈士事蹟選 1</v>
      </c>
      <c r="F687" s="7" t="s">
        <v>2616</v>
      </c>
      <c r="G687" s="7" t="str">
        <f>T("山東人民")</f>
        <v>山東人民</v>
      </c>
      <c r="H687" s="7" t="str">
        <f>T("20060801")</f>
        <v>20060801</v>
      </c>
      <c r="I687" s="7">
        <v>53</v>
      </c>
      <c r="J687" s="7">
        <v>318</v>
      </c>
      <c r="K687" s="9" t="s">
        <v>1336</v>
      </c>
    </row>
    <row r="688" spans="1:11" x14ac:dyDescent="0.25">
      <c r="A688" s="5">
        <v>680</v>
      </c>
      <c r="B688" s="5">
        <v>20</v>
      </c>
      <c r="C688" s="10" t="s">
        <v>1054</v>
      </c>
      <c r="D688" s="7" t="s">
        <v>1997</v>
      </c>
      <c r="E688" s="8" t="str">
        <f>T("宦官劫數")</f>
        <v>宦官劫數</v>
      </c>
      <c r="F688" s="7" t="s">
        <v>3153</v>
      </c>
      <c r="G688" s="7" t="str">
        <f>T("浙江人民")</f>
        <v>浙江人民</v>
      </c>
      <c r="H688" s="7" t="str">
        <f>T("20100101")</f>
        <v>20100101</v>
      </c>
      <c r="I688" s="7">
        <v>27</v>
      </c>
      <c r="J688" s="7">
        <v>162</v>
      </c>
      <c r="K688" s="9" t="s">
        <v>1336</v>
      </c>
    </row>
    <row r="689" spans="1:11" x14ac:dyDescent="0.25">
      <c r="A689" s="5">
        <v>681</v>
      </c>
      <c r="B689" s="5">
        <v>21</v>
      </c>
      <c r="C689" s="10" t="s">
        <v>1055</v>
      </c>
      <c r="D689" s="7" t="s">
        <v>1998</v>
      </c>
      <c r="E689" s="8" t="str">
        <f>T("功臣悲歡")</f>
        <v>功臣悲歡</v>
      </c>
      <c r="F689" s="7" t="s">
        <v>3154</v>
      </c>
      <c r="G689" s="7" t="str">
        <f>T("浙江人民")</f>
        <v>浙江人民</v>
      </c>
      <c r="H689" s="7" t="str">
        <f>T("20100101")</f>
        <v>20100101</v>
      </c>
      <c r="I689" s="7">
        <v>26.5</v>
      </c>
      <c r="J689" s="7">
        <v>159</v>
      </c>
      <c r="K689" s="9" t="s">
        <v>1336</v>
      </c>
    </row>
    <row r="690" spans="1:11" x14ac:dyDescent="0.25">
      <c r="A690" s="5">
        <v>682</v>
      </c>
      <c r="B690" s="5">
        <v>22</v>
      </c>
      <c r="C690" s="10" t="s">
        <v>1056</v>
      </c>
      <c r="D690" s="7" t="s">
        <v>1999</v>
      </c>
      <c r="E690" s="8" t="str">
        <f>T("儲君禍福")</f>
        <v>儲君禍福</v>
      </c>
      <c r="F690" s="7" t="s">
        <v>3155</v>
      </c>
      <c r="G690" s="7" t="str">
        <f>T("浙江人民")</f>
        <v>浙江人民</v>
      </c>
      <c r="H690" s="7" t="str">
        <f>T("20100101")</f>
        <v>20100101</v>
      </c>
      <c r="I690" s="7">
        <v>26</v>
      </c>
      <c r="J690" s="7">
        <v>156</v>
      </c>
      <c r="K690" s="9" t="s">
        <v>1336</v>
      </c>
    </row>
    <row r="691" spans="1:11" x14ac:dyDescent="0.25">
      <c r="A691" s="5">
        <v>683</v>
      </c>
      <c r="B691" s="5">
        <v>23</v>
      </c>
      <c r="C691" s="10" t="s">
        <v>1057</v>
      </c>
      <c r="D691" s="7" t="s">
        <v>2000</v>
      </c>
      <c r="E691" s="8" t="str">
        <f>T("魏特琳日記")</f>
        <v>魏特琳日記</v>
      </c>
      <c r="F691" s="7" t="s">
        <v>3156</v>
      </c>
      <c r="G691" s="7" t="str">
        <f t="shared" ref="G691:G705" si="34">T("江蘇人民")</f>
        <v>江蘇人民</v>
      </c>
      <c r="H691" s="7" t="str">
        <f>T("20060101")</f>
        <v>20060101</v>
      </c>
      <c r="I691" s="7">
        <v>34</v>
      </c>
      <c r="J691" s="7">
        <v>204</v>
      </c>
      <c r="K691" s="9" t="s">
        <v>1336</v>
      </c>
    </row>
    <row r="692" spans="1:11" ht="28.5" x14ac:dyDescent="0.25">
      <c r="A692" s="5">
        <v>684</v>
      </c>
      <c r="B692" s="5">
        <v>24</v>
      </c>
      <c r="C692" s="10" t="s">
        <v>976</v>
      </c>
      <c r="D692" s="7" t="s">
        <v>2001</v>
      </c>
      <c r="E692" s="8" t="str">
        <f>T("南京大屠殺史料集：外國媒體報導與德國使館報告")</f>
        <v>南京大屠殺史料集：外國媒體報導與德國使館報告</v>
      </c>
      <c r="F692" s="7" t="s">
        <v>3157</v>
      </c>
      <c r="G692" s="7" t="str">
        <f t="shared" si="34"/>
        <v>江蘇人民</v>
      </c>
      <c r="H692" s="7" t="str">
        <f t="shared" ref="H692:H697" si="35">T("20050701")</f>
        <v>20050701</v>
      </c>
      <c r="I692" s="7">
        <v>29</v>
      </c>
      <c r="J692" s="7">
        <v>174</v>
      </c>
      <c r="K692" s="9" t="s">
        <v>1336</v>
      </c>
    </row>
    <row r="693" spans="1:11" x14ac:dyDescent="0.25">
      <c r="A693" s="5">
        <v>685</v>
      </c>
      <c r="B693" s="5">
        <v>25</v>
      </c>
      <c r="C693" s="10" t="s">
        <v>977</v>
      </c>
      <c r="D693" s="7" t="s">
        <v>2002</v>
      </c>
      <c r="E693" s="8" t="str">
        <f>T("南京大屠殺史料集：日軍官兵日記(八)")</f>
        <v>南京大屠殺史料集：日軍官兵日記(八)</v>
      </c>
      <c r="F693" s="7" t="s">
        <v>3158</v>
      </c>
      <c r="G693" s="7" t="str">
        <f t="shared" si="34"/>
        <v>江蘇人民</v>
      </c>
      <c r="H693" s="7" t="str">
        <f t="shared" si="35"/>
        <v>20050701</v>
      </c>
      <c r="I693" s="7">
        <v>40</v>
      </c>
      <c r="J693" s="7">
        <v>240</v>
      </c>
      <c r="K693" s="9" t="s">
        <v>1336</v>
      </c>
    </row>
    <row r="694" spans="1:11" x14ac:dyDescent="0.25">
      <c r="A694" s="5">
        <v>686</v>
      </c>
      <c r="B694" s="5">
        <v>26</v>
      </c>
      <c r="C694" s="10" t="s">
        <v>978</v>
      </c>
      <c r="D694" s="7" t="s">
        <v>2003</v>
      </c>
      <c r="E694" s="8" t="str">
        <f>T("南京大屠殺史料集：遇難者的屍體掩埋")</f>
        <v>南京大屠殺史料集：遇難者的屍體掩埋</v>
      </c>
      <c r="F694" s="7" t="s">
        <v>3159</v>
      </c>
      <c r="G694" s="7" t="str">
        <f t="shared" si="34"/>
        <v>江蘇人民</v>
      </c>
      <c r="H694" s="7" t="str">
        <f t="shared" si="35"/>
        <v>20050701</v>
      </c>
      <c r="I694" s="7">
        <v>25</v>
      </c>
      <c r="J694" s="7">
        <v>150</v>
      </c>
      <c r="K694" s="9" t="s">
        <v>1336</v>
      </c>
    </row>
    <row r="695" spans="1:11" ht="28.5" x14ac:dyDescent="0.25">
      <c r="A695" s="5">
        <v>687</v>
      </c>
      <c r="B695" s="5">
        <v>27</v>
      </c>
      <c r="C695" s="10" t="s">
        <v>979</v>
      </c>
      <c r="D695" s="7" t="s">
        <v>2004</v>
      </c>
      <c r="E695" s="8" t="str">
        <f>T("南京大屠殺史料集：戰前的南京與日機的空襲")</f>
        <v>南京大屠殺史料集：戰前的南京與日機的空襲</v>
      </c>
      <c r="F695" s="7" t="s">
        <v>3160</v>
      </c>
      <c r="G695" s="7" t="str">
        <f t="shared" si="34"/>
        <v>江蘇人民</v>
      </c>
      <c r="H695" s="7" t="str">
        <f t="shared" si="35"/>
        <v>20050701</v>
      </c>
      <c r="I695" s="7">
        <v>25</v>
      </c>
      <c r="J695" s="7">
        <v>150</v>
      </c>
      <c r="K695" s="9" t="s">
        <v>1336</v>
      </c>
    </row>
    <row r="696" spans="1:11" x14ac:dyDescent="0.25">
      <c r="A696" s="5">
        <v>688</v>
      </c>
      <c r="B696" s="5">
        <v>28</v>
      </c>
      <c r="C696" s="10" t="s">
        <v>980</v>
      </c>
      <c r="D696" s="7" t="s">
        <v>2005</v>
      </c>
      <c r="E696" s="8" t="str">
        <f>T("南京大屠殺史料集：東京審判")</f>
        <v>南京大屠殺史料集：東京審判</v>
      </c>
      <c r="F696" s="7" t="s">
        <v>3161</v>
      </c>
      <c r="G696" s="7" t="str">
        <f t="shared" si="34"/>
        <v>江蘇人民</v>
      </c>
      <c r="H696" s="7" t="str">
        <f t="shared" si="35"/>
        <v>20050701</v>
      </c>
      <c r="I696" s="7">
        <v>36</v>
      </c>
      <c r="J696" s="7">
        <v>216</v>
      </c>
      <c r="K696" s="9" t="s">
        <v>1336</v>
      </c>
    </row>
    <row r="697" spans="1:11" ht="28.5" x14ac:dyDescent="0.25">
      <c r="A697" s="5">
        <v>689</v>
      </c>
      <c r="B697" s="5">
        <v>29</v>
      </c>
      <c r="C697" s="10" t="s">
        <v>981</v>
      </c>
      <c r="D697" s="7" t="s">
        <v>2006</v>
      </c>
      <c r="E697" s="8" t="str">
        <f>T("南京大屠殺史料集：美國傳教士的日記與書信")</f>
        <v>南京大屠殺史料集：美國傳教士的日記與書信</v>
      </c>
      <c r="F697" s="7" t="s">
        <v>3162</v>
      </c>
      <c r="G697" s="7" t="str">
        <f t="shared" si="34"/>
        <v>江蘇人民</v>
      </c>
      <c r="H697" s="7" t="str">
        <f t="shared" si="35"/>
        <v>20050701</v>
      </c>
      <c r="I697" s="7">
        <v>24</v>
      </c>
      <c r="J697" s="7">
        <v>144</v>
      </c>
      <c r="K697" s="9" t="s">
        <v>1336</v>
      </c>
    </row>
    <row r="698" spans="1:11" ht="28.5" x14ac:dyDescent="0.25">
      <c r="A698" s="5">
        <v>690</v>
      </c>
      <c r="B698" s="5">
        <v>30</v>
      </c>
      <c r="C698" s="10" t="s">
        <v>765</v>
      </c>
      <c r="D698" s="7" t="s">
        <v>2007</v>
      </c>
      <c r="E698" s="8" t="str">
        <f>T("南京大屠殺史料集：賠償委員會調查統計(二十二)")</f>
        <v>南京大屠殺史料集：賠償委員會調查統計(二十二)</v>
      </c>
      <c r="F698" s="7" t="s">
        <v>3163</v>
      </c>
      <c r="G698" s="7" t="str">
        <f t="shared" si="34"/>
        <v>江蘇人民</v>
      </c>
      <c r="H698" s="7" t="str">
        <f t="shared" ref="H698:H705" si="36">T("20060101")</f>
        <v>20060101</v>
      </c>
      <c r="I698" s="7">
        <v>40</v>
      </c>
      <c r="J698" s="7">
        <v>240</v>
      </c>
      <c r="K698" s="9" t="s">
        <v>1336</v>
      </c>
    </row>
    <row r="699" spans="1:11" x14ac:dyDescent="0.25">
      <c r="A699" s="5">
        <v>691</v>
      </c>
      <c r="B699" s="5">
        <v>31</v>
      </c>
      <c r="C699" s="10" t="s">
        <v>760</v>
      </c>
      <c r="D699" s="7" t="s">
        <v>2008</v>
      </c>
      <c r="E699" s="8" t="str">
        <f>T("日軍官兵日記與書信")</f>
        <v>日軍官兵日記與書信</v>
      </c>
      <c r="F699" s="7" t="s">
        <v>3158</v>
      </c>
      <c r="G699" s="7" t="str">
        <f t="shared" si="34"/>
        <v>江蘇人民</v>
      </c>
      <c r="H699" s="7" t="str">
        <f t="shared" si="36"/>
        <v>20060101</v>
      </c>
      <c r="I699" s="7">
        <v>32</v>
      </c>
      <c r="J699" s="7">
        <v>192</v>
      </c>
      <c r="K699" s="9" t="s">
        <v>1336</v>
      </c>
    </row>
    <row r="700" spans="1:11" x14ac:dyDescent="0.25">
      <c r="A700" s="5">
        <v>692</v>
      </c>
      <c r="B700" s="5">
        <v>32</v>
      </c>
      <c r="C700" s="10" t="s">
        <v>761</v>
      </c>
      <c r="D700" s="7" t="s">
        <v>2009</v>
      </c>
      <c r="E700" s="8" t="str">
        <f>T("日本軍方檔")</f>
        <v>日本軍方檔</v>
      </c>
      <c r="F700" s="7" t="s">
        <v>3158</v>
      </c>
      <c r="G700" s="7" t="str">
        <f t="shared" si="34"/>
        <v>江蘇人民</v>
      </c>
      <c r="H700" s="7" t="str">
        <f t="shared" si="36"/>
        <v>20060101</v>
      </c>
      <c r="I700" s="7">
        <v>24</v>
      </c>
      <c r="J700" s="7">
        <v>144</v>
      </c>
      <c r="K700" s="9" t="s">
        <v>1336</v>
      </c>
    </row>
    <row r="701" spans="1:11" x14ac:dyDescent="0.25">
      <c r="A701" s="5">
        <v>693</v>
      </c>
      <c r="B701" s="5">
        <v>33</v>
      </c>
      <c r="C701" s="10" t="s">
        <v>762</v>
      </c>
      <c r="D701" s="7" t="s">
        <v>2010</v>
      </c>
      <c r="E701" s="8" t="str">
        <f>T("英美文書·安全區文書·自治委員會文書")</f>
        <v>英美文書·安全區文書·自治委員會文書</v>
      </c>
      <c r="F701" s="7" t="s">
        <v>3157</v>
      </c>
      <c r="G701" s="7" t="str">
        <f t="shared" si="34"/>
        <v>江蘇人民</v>
      </c>
      <c r="H701" s="7" t="str">
        <f t="shared" si="36"/>
        <v>20060101</v>
      </c>
      <c r="I701" s="7">
        <v>38</v>
      </c>
      <c r="J701" s="7">
        <v>228</v>
      </c>
      <c r="K701" s="9" t="s">
        <v>1336</v>
      </c>
    </row>
    <row r="702" spans="1:11" x14ac:dyDescent="0.25">
      <c r="A702" s="5">
        <v>694</v>
      </c>
      <c r="B702" s="5">
        <v>34</v>
      </c>
      <c r="C702" s="10" t="s">
        <v>763</v>
      </c>
      <c r="D702" s="7" t="s">
        <v>2011</v>
      </c>
      <c r="E702" s="8" t="str">
        <f>T("南京審判")</f>
        <v>南京審判</v>
      </c>
      <c r="F702" s="7" t="s">
        <v>3164</v>
      </c>
      <c r="G702" s="7" t="str">
        <f t="shared" si="34"/>
        <v>江蘇人民</v>
      </c>
      <c r="H702" s="7" t="str">
        <f t="shared" si="36"/>
        <v>20060101</v>
      </c>
      <c r="I702" s="7">
        <v>33</v>
      </c>
      <c r="J702" s="7">
        <v>198</v>
      </c>
      <c r="K702" s="9" t="s">
        <v>1336</v>
      </c>
    </row>
    <row r="703" spans="1:11" x14ac:dyDescent="0.25">
      <c r="A703" s="5">
        <v>695</v>
      </c>
      <c r="B703" s="5">
        <v>35</v>
      </c>
      <c r="C703" s="10" t="s">
        <v>764</v>
      </c>
      <c r="D703" s="7" t="s">
        <v>2012</v>
      </c>
      <c r="E703" s="8" t="str">
        <f>T("前期人口傷亡和財產損失調查")</f>
        <v>前期人口傷亡和財產損失調查</v>
      </c>
      <c r="F703" s="7" t="s">
        <v>3163</v>
      </c>
      <c r="G703" s="7" t="str">
        <f t="shared" si="34"/>
        <v>江蘇人民</v>
      </c>
      <c r="H703" s="7" t="str">
        <f t="shared" si="36"/>
        <v>20060101</v>
      </c>
      <c r="I703" s="7">
        <v>27</v>
      </c>
      <c r="J703" s="7">
        <v>162</v>
      </c>
      <c r="K703" s="9" t="s">
        <v>1336</v>
      </c>
    </row>
    <row r="704" spans="1:11" x14ac:dyDescent="0.25">
      <c r="A704" s="5">
        <v>696</v>
      </c>
      <c r="B704" s="5">
        <v>36</v>
      </c>
      <c r="C704" s="10" t="s">
        <v>766</v>
      </c>
      <c r="D704" s="7" t="s">
        <v>2013</v>
      </c>
      <c r="E704" s="8" t="str">
        <f>T("日軍罪行調查委員會調查統計（上中下）")</f>
        <v>日軍罪行調查委員會調查統計（上中下）</v>
      </c>
      <c r="F704" s="7" t="s">
        <v>3165</v>
      </c>
      <c r="G704" s="7" t="str">
        <f t="shared" si="34"/>
        <v>江蘇人民</v>
      </c>
      <c r="H704" s="7" t="str">
        <f t="shared" si="36"/>
        <v>20060101</v>
      </c>
      <c r="I704" s="7">
        <v>108</v>
      </c>
      <c r="J704" s="7">
        <v>648</v>
      </c>
      <c r="K704" s="9" t="s">
        <v>1336</v>
      </c>
    </row>
    <row r="705" spans="1:11" x14ac:dyDescent="0.25">
      <c r="A705" s="5">
        <v>697</v>
      </c>
      <c r="B705" s="5">
        <v>37</v>
      </c>
      <c r="C705" s="10" t="s">
        <v>767</v>
      </c>
      <c r="D705" s="7" t="s">
        <v>2014</v>
      </c>
      <c r="E705" s="8" t="str">
        <f>T("南京大屠殺案市民呈文(23)")</f>
        <v>南京大屠殺案市民呈文(23)</v>
      </c>
      <c r="F705" s="7" t="s">
        <v>3166</v>
      </c>
      <c r="G705" s="7" t="str">
        <f t="shared" si="34"/>
        <v>江蘇人民</v>
      </c>
      <c r="H705" s="7" t="str">
        <f t="shared" si="36"/>
        <v>20060101</v>
      </c>
      <c r="I705" s="7">
        <v>43</v>
      </c>
      <c r="J705" s="7">
        <v>258</v>
      </c>
      <c r="K705" s="9" t="s">
        <v>1336</v>
      </c>
    </row>
    <row r="706" spans="1:11" x14ac:dyDescent="0.25">
      <c r="A706" s="5">
        <v>698</v>
      </c>
      <c r="B706" s="5">
        <v>38</v>
      </c>
      <c r="C706" s="10" t="s">
        <v>878</v>
      </c>
      <c r="D706" s="7" t="s">
        <v>2015</v>
      </c>
      <c r="E706" s="8" t="str">
        <f>T("黎元洪傳")</f>
        <v>黎元洪傳</v>
      </c>
      <c r="F706" s="7" t="s">
        <v>3167</v>
      </c>
      <c r="G706" s="7" t="str">
        <f>T("湖北人民")</f>
        <v>湖北人民</v>
      </c>
      <c r="H706" s="7" t="str">
        <f>T("20110701")</f>
        <v>20110701</v>
      </c>
      <c r="I706" s="7">
        <v>45</v>
      </c>
      <c r="J706" s="7">
        <v>270</v>
      </c>
      <c r="K706" s="9" t="s">
        <v>1336</v>
      </c>
    </row>
    <row r="707" spans="1:11" x14ac:dyDescent="0.25">
      <c r="A707" s="5">
        <v>699</v>
      </c>
      <c r="B707" s="5">
        <v>39</v>
      </c>
      <c r="C707" s="10" t="s">
        <v>588</v>
      </c>
      <c r="D707" s="7" t="s">
        <v>2016</v>
      </c>
      <c r="E707" s="8" t="str">
        <f>T("新史學叢書:並未遠去的背影")</f>
        <v>新史學叢書:並未遠去的背影</v>
      </c>
      <c r="F707" s="7" t="s">
        <v>3168</v>
      </c>
      <c r="G707" s="7" t="str">
        <f>T("廣東人民")</f>
        <v>廣東人民</v>
      </c>
      <c r="H707" s="7" t="str">
        <f>T("20100101")</f>
        <v>20100101</v>
      </c>
      <c r="I707" s="7">
        <v>32</v>
      </c>
      <c r="J707" s="7">
        <v>192</v>
      </c>
      <c r="K707" s="9" t="s">
        <v>1336</v>
      </c>
    </row>
    <row r="708" spans="1:11" x14ac:dyDescent="0.25">
      <c r="A708" s="5">
        <v>700</v>
      </c>
      <c r="B708" s="5">
        <v>40</v>
      </c>
      <c r="C708" s="10" t="s">
        <v>132</v>
      </c>
      <c r="D708" s="7" t="s">
        <v>2017</v>
      </c>
      <c r="E708" s="8" t="str">
        <f>T("在繁華中沉沒:清帝國")</f>
        <v>在繁華中沉沒:清帝國</v>
      </c>
      <c r="F708" s="7" t="s">
        <v>3169</v>
      </c>
      <c r="G708" s="7" t="str">
        <f>T("陝西人民")</f>
        <v>陝西人民</v>
      </c>
      <c r="H708" s="7" t="str">
        <f>T("20070101")</f>
        <v>20070101</v>
      </c>
      <c r="I708" s="7">
        <v>25</v>
      </c>
      <c r="J708" s="7">
        <v>150</v>
      </c>
      <c r="K708" s="9" t="s">
        <v>1336</v>
      </c>
    </row>
    <row r="709" spans="1:11" x14ac:dyDescent="0.25">
      <c r="A709" s="5">
        <v>701</v>
      </c>
      <c r="B709" s="5">
        <v>41</v>
      </c>
      <c r="C709" s="10" t="s">
        <v>133</v>
      </c>
      <c r="D709" s="7" t="s">
        <v>2018</v>
      </c>
      <c r="E709" s="8" t="str">
        <f>T("漢風流韻(漢文化叢書)")</f>
        <v>漢風流韻(漢文化叢書)</v>
      </c>
      <c r="F709" s="7" t="s">
        <v>3170</v>
      </c>
      <c r="G709" s="7" t="str">
        <f>T("陝西人民")</f>
        <v>陝西人民</v>
      </c>
      <c r="H709" s="7" t="str">
        <f>T("20080701")</f>
        <v>20080701</v>
      </c>
      <c r="I709" s="7">
        <v>19</v>
      </c>
      <c r="J709" s="7">
        <v>114</v>
      </c>
      <c r="K709" s="9" t="s">
        <v>1336</v>
      </c>
    </row>
    <row r="710" spans="1:11" x14ac:dyDescent="0.25">
      <c r="A710" s="5">
        <v>702</v>
      </c>
      <c r="B710" s="5">
        <v>42</v>
      </c>
      <c r="C710" s="10" t="s">
        <v>285</v>
      </c>
      <c r="D710" s="7" t="s">
        <v>2019</v>
      </c>
      <c r="E710" s="8" t="str">
        <f>T("昭宣時代(漢文化叢書)")</f>
        <v>昭宣時代(漢文化叢書)</v>
      </c>
      <c r="F710" s="7" t="s">
        <v>3171</v>
      </c>
      <c r="G710" s="7" t="str">
        <f>T("陝西人民")</f>
        <v>陝西人民</v>
      </c>
      <c r="H710" s="7" t="str">
        <f>T("20080701")</f>
        <v>20080701</v>
      </c>
      <c r="I710" s="7">
        <v>21</v>
      </c>
      <c r="J710" s="7">
        <v>126</v>
      </c>
      <c r="K710" s="9" t="s">
        <v>1336</v>
      </c>
    </row>
    <row r="711" spans="1:11" x14ac:dyDescent="0.25">
      <c r="A711" s="5">
        <v>703</v>
      </c>
      <c r="B711" s="5">
        <v>43</v>
      </c>
      <c r="C711" s="10" t="s">
        <v>287</v>
      </c>
      <c r="D711" s="7" t="s">
        <v>2020</v>
      </c>
      <c r="E711" s="8" t="str">
        <f>T("先秦亂")</f>
        <v>先秦亂</v>
      </c>
      <c r="F711" s="7" t="s">
        <v>3172</v>
      </c>
      <c r="G711" s="7" t="str">
        <f>T("陝西人民")</f>
        <v>陝西人民</v>
      </c>
      <c r="H711" s="7" t="str">
        <f>T("20100101")</f>
        <v>20100101</v>
      </c>
      <c r="I711" s="7">
        <v>24.8</v>
      </c>
      <c r="J711" s="7">
        <v>149</v>
      </c>
      <c r="K711" s="9" t="s">
        <v>1336</v>
      </c>
    </row>
    <row r="712" spans="1:11" x14ac:dyDescent="0.25">
      <c r="A712" s="5">
        <v>704</v>
      </c>
      <c r="B712" s="5">
        <v>44</v>
      </c>
      <c r="C712" s="10" t="s">
        <v>291</v>
      </c>
      <c r="D712" s="7" t="s">
        <v>2021</v>
      </c>
      <c r="E712" s="8" t="str">
        <f>T("漢朝的密碼-從秦皇到漢武的帝國記憶")</f>
        <v>漢朝的密碼-從秦皇到漢武的帝國記憶</v>
      </c>
      <c r="F712" s="7" t="s">
        <v>3173</v>
      </c>
      <c r="G712" s="7" t="str">
        <f>T("陝西人民")</f>
        <v>陝西人民</v>
      </c>
      <c r="H712" s="7" t="str">
        <f>T("20100101")</f>
        <v>20100101</v>
      </c>
      <c r="I712" s="7">
        <v>32.799999999999997</v>
      </c>
      <c r="J712" s="7">
        <v>197</v>
      </c>
      <c r="K712" s="9" t="s">
        <v>1336</v>
      </c>
    </row>
    <row r="713" spans="1:11" x14ac:dyDescent="0.25">
      <c r="A713" s="5">
        <v>705</v>
      </c>
      <c r="B713" s="5">
        <v>45</v>
      </c>
      <c r="C713" s="10" t="s">
        <v>292</v>
      </c>
      <c r="D713" s="7" t="s">
        <v>2022</v>
      </c>
      <c r="E713" s="8" t="str">
        <f>T("三國殤-(全三冊)")</f>
        <v>三國殤-(全三冊)</v>
      </c>
      <c r="F713" s="7" t="s">
        <v>3174</v>
      </c>
      <c r="G713" s="7" t="str">
        <f>T("甘肅人民")</f>
        <v>甘肅人民</v>
      </c>
      <c r="H713" s="7" t="str">
        <f>T("20071201")</f>
        <v>20071201</v>
      </c>
      <c r="I713" s="7">
        <v>128</v>
      </c>
      <c r="J713" s="7">
        <v>768</v>
      </c>
      <c r="K713" s="9" t="s">
        <v>1336</v>
      </c>
    </row>
    <row r="714" spans="1:11" x14ac:dyDescent="0.25">
      <c r="A714" s="5">
        <v>706</v>
      </c>
      <c r="B714" s="5">
        <v>46</v>
      </c>
      <c r="C714" s="10" t="s">
        <v>308</v>
      </c>
      <c r="D714" s="7" t="s">
        <v>2023</v>
      </c>
      <c r="E714" s="8" t="str">
        <f>T("狼性征服")</f>
        <v>狼性征服</v>
      </c>
      <c r="F714" s="7" t="s">
        <v>3175</v>
      </c>
      <c r="G714" s="7" t="str">
        <f>T("重慶")</f>
        <v>重慶</v>
      </c>
      <c r="H714" s="7" t="str">
        <f>T("20100601")</f>
        <v>20100601</v>
      </c>
      <c r="I714" s="7">
        <v>28</v>
      </c>
      <c r="J714" s="7">
        <v>168</v>
      </c>
      <c r="K714" s="9" t="s">
        <v>1336</v>
      </c>
    </row>
    <row r="715" spans="1:11" x14ac:dyDescent="0.25">
      <c r="A715" s="5">
        <v>707</v>
      </c>
      <c r="B715" s="5">
        <v>47</v>
      </c>
      <c r="C715" s="10" t="s">
        <v>503</v>
      </c>
      <c r="D715" s="7" t="s">
        <v>2024</v>
      </c>
      <c r="E715" s="8" t="str">
        <f>T("歷史並不遙遠")</f>
        <v>歷史並不遙遠</v>
      </c>
      <c r="F715" s="7" t="s">
        <v>3176</v>
      </c>
      <c r="G715" s="7" t="str">
        <f>T("中國人大")</f>
        <v>中國人大</v>
      </c>
      <c r="H715" s="7" t="str">
        <f>T("20040601")</f>
        <v>20040601</v>
      </c>
      <c r="I715" s="7">
        <v>28</v>
      </c>
      <c r="J715" s="7">
        <v>168</v>
      </c>
      <c r="K715" s="9" t="s">
        <v>1336</v>
      </c>
    </row>
    <row r="716" spans="1:11" ht="28.5" x14ac:dyDescent="0.25">
      <c r="A716" s="5">
        <v>708</v>
      </c>
      <c r="B716" s="5">
        <v>48</v>
      </c>
      <c r="C716" s="10" t="s">
        <v>971</v>
      </c>
      <c r="D716" s="7" t="s">
        <v>2025</v>
      </c>
      <c r="E716" s="8" t="str">
        <f>T("漢唐盛世的歷史解讀-漢唐盛世學術研討會論文集")</f>
        <v>漢唐盛世的歷史解讀-漢唐盛世學術研討會論文集</v>
      </c>
      <c r="F716" s="7" t="s">
        <v>3177</v>
      </c>
      <c r="G716" s="7" t="str">
        <f>T("人民大學")</f>
        <v>人民大學</v>
      </c>
      <c r="H716" s="7" t="str">
        <f>T("20090301")</f>
        <v>20090301</v>
      </c>
      <c r="I716" s="7">
        <v>59</v>
      </c>
      <c r="J716" s="7">
        <v>354</v>
      </c>
      <c r="K716" s="9" t="s">
        <v>1336</v>
      </c>
    </row>
    <row r="717" spans="1:11" x14ac:dyDescent="0.25">
      <c r="A717" s="5">
        <v>709</v>
      </c>
      <c r="B717" s="5">
        <v>49</v>
      </c>
      <c r="C717" s="10" t="s">
        <v>79</v>
      </c>
      <c r="D717" s="7" t="s">
        <v>2026</v>
      </c>
      <c r="E717" s="8" t="str">
        <f>T("紅樓書影")</f>
        <v>紅樓書影</v>
      </c>
      <c r="F717" s="7" t="s">
        <v>3178</v>
      </c>
      <c r="G717" s="7" t="str">
        <f>T("北京大學")</f>
        <v>北京大學</v>
      </c>
      <c r="H717" s="7" t="str">
        <f>T("20071001")</f>
        <v>20071001</v>
      </c>
      <c r="I717" s="7">
        <v>38</v>
      </c>
      <c r="J717" s="7">
        <v>228</v>
      </c>
      <c r="K717" s="9" t="s">
        <v>1336</v>
      </c>
    </row>
    <row r="718" spans="1:11" x14ac:dyDescent="0.25">
      <c r="A718" s="5">
        <v>710</v>
      </c>
      <c r="B718" s="5">
        <v>50</v>
      </c>
      <c r="C718" s="10" t="s">
        <v>336</v>
      </c>
      <c r="D718" s="7" t="s">
        <v>2027</v>
      </c>
      <c r="E718" s="8" t="str">
        <f>T("中國歷史概要")</f>
        <v>中國歷史概要</v>
      </c>
      <c r="F718" s="7" t="s">
        <v>3179</v>
      </c>
      <c r="G718" s="7" t="str">
        <f>T("北京大學")</f>
        <v>北京大學</v>
      </c>
      <c r="H718" s="7" t="str">
        <f>T("20090101")</f>
        <v>20090101</v>
      </c>
      <c r="I718" s="7">
        <v>31</v>
      </c>
      <c r="J718" s="7">
        <v>186</v>
      </c>
      <c r="K718" s="9" t="s">
        <v>1336</v>
      </c>
    </row>
    <row r="719" spans="1:11" x14ac:dyDescent="0.25">
      <c r="A719" s="5">
        <v>711</v>
      </c>
      <c r="B719" s="5">
        <v>51</v>
      </c>
      <c r="C719" s="10" t="s">
        <v>344</v>
      </c>
      <c r="D719" s="7" t="s">
        <v>2028</v>
      </c>
      <c r="E719" s="8" t="str">
        <f>T("中國古代政治文化研究")</f>
        <v>中國古代政治文化研究</v>
      </c>
      <c r="F719" s="7" t="s">
        <v>3180</v>
      </c>
      <c r="G719" s="7" t="str">
        <f>T("北京大學")</f>
        <v>北京大學</v>
      </c>
      <c r="H719" s="7" t="str">
        <f>T("20091001")</f>
        <v>20091001</v>
      </c>
      <c r="I719" s="7">
        <v>45</v>
      </c>
      <c r="J719" s="7">
        <v>270</v>
      </c>
      <c r="K719" s="9" t="s">
        <v>1336</v>
      </c>
    </row>
    <row r="720" spans="1:11" x14ac:dyDescent="0.25">
      <c r="A720" s="5">
        <v>712</v>
      </c>
      <c r="B720" s="5">
        <v>52</v>
      </c>
      <c r="C720" s="10" t="s">
        <v>576</v>
      </c>
      <c r="D720" s="7" t="s">
        <v>2029</v>
      </c>
      <c r="E720" s="8" t="str">
        <f>T("中國文化通史 兩宋卷")</f>
        <v>中國文化通史 兩宋卷</v>
      </c>
      <c r="F720" s="7" t="s">
        <v>3181</v>
      </c>
      <c r="G720" s="7" t="str">
        <f>T("北京師大")</f>
        <v>北京師大</v>
      </c>
      <c r="H720" s="7" t="str">
        <f>T("20090701")</f>
        <v>20090701</v>
      </c>
      <c r="I720" s="7">
        <v>64</v>
      </c>
      <c r="J720" s="7">
        <v>384</v>
      </c>
      <c r="K720" s="9" t="s">
        <v>1336</v>
      </c>
    </row>
    <row r="721" spans="1:11" x14ac:dyDescent="0.25">
      <c r="A721" s="5">
        <v>713</v>
      </c>
      <c r="B721" s="5">
        <v>53</v>
      </c>
      <c r="C721" s="10" t="s">
        <v>577</v>
      </c>
      <c r="D721" s="7" t="s">
        <v>2030</v>
      </c>
      <c r="E721" s="8" t="str">
        <f>T("中國文化通史 明代卷")</f>
        <v>中國文化通史 明代卷</v>
      </c>
      <c r="F721" s="7" t="s">
        <v>3181</v>
      </c>
      <c r="G721" s="7" t="str">
        <f>T("北京師大")</f>
        <v>北京師大</v>
      </c>
      <c r="H721" s="7" t="str">
        <f>T("20090701")</f>
        <v>20090701</v>
      </c>
      <c r="I721" s="7">
        <v>68</v>
      </c>
      <c r="J721" s="7">
        <v>408</v>
      </c>
      <c r="K721" s="9" t="s">
        <v>1336</v>
      </c>
    </row>
    <row r="722" spans="1:11" x14ac:dyDescent="0.25">
      <c r="A722" s="5">
        <v>714</v>
      </c>
      <c r="B722" s="5">
        <v>54</v>
      </c>
      <c r="C722" s="10" t="s">
        <v>578</v>
      </c>
      <c r="D722" s="7" t="s">
        <v>2031</v>
      </c>
      <c r="E722" s="8" t="str">
        <f>T("中國文化通史 清前期卷")</f>
        <v>中國文化通史 清前期卷</v>
      </c>
      <c r="F722" s="7" t="s">
        <v>3181</v>
      </c>
      <c r="G722" s="7" t="str">
        <f>T("北京師大")</f>
        <v>北京師大</v>
      </c>
      <c r="H722" s="7" t="str">
        <f>T("20090701")</f>
        <v>20090701</v>
      </c>
      <c r="I722" s="7">
        <v>68</v>
      </c>
      <c r="J722" s="7">
        <v>408</v>
      </c>
      <c r="K722" s="9" t="s">
        <v>1336</v>
      </c>
    </row>
    <row r="723" spans="1:11" ht="28.5" x14ac:dyDescent="0.25">
      <c r="A723" s="5">
        <v>715</v>
      </c>
      <c r="B723" s="5">
        <v>55</v>
      </c>
      <c r="C723" s="10" t="s">
        <v>772</v>
      </c>
      <c r="D723" s="7" t="s">
        <v>2032</v>
      </c>
      <c r="E723" s="8" t="str">
        <f>T("賈思勰 王禎評傳 : 中國思想家評傳叢書：典藏版")</f>
        <v>賈思勰 王禎評傳 : 中國思想家評傳叢書：典藏版</v>
      </c>
      <c r="F723" s="7" t="s">
        <v>3182</v>
      </c>
      <c r="G723" s="7" t="str">
        <f>T("南京大學")</f>
        <v>南京大學</v>
      </c>
      <c r="H723" s="7" t="str">
        <f>T("20110401")</f>
        <v>20110401</v>
      </c>
      <c r="I723" s="7">
        <v>40</v>
      </c>
      <c r="J723" s="7">
        <v>240</v>
      </c>
      <c r="K723" s="9" t="s">
        <v>1336</v>
      </c>
    </row>
    <row r="724" spans="1:11" x14ac:dyDescent="0.25">
      <c r="A724" s="5">
        <v>716</v>
      </c>
      <c r="B724" s="5">
        <v>56</v>
      </c>
      <c r="C724" s="10" t="s">
        <v>377</v>
      </c>
      <c r="D724" s="7" t="s">
        <v>2033</v>
      </c>
      <c r="E724" s="8" t="str">
        <f>T("戰國楚簡地名輯證")</f>
        <v>戰國楚簡地名輯證</v>
      </c>
      <c r="F724" s="7" t="s">
        <v>3183</v>
      </c>
      <c r="G724" s="7" t="str">
        <f>T("武漢大學")</f>
        <v>武漢大學</v>
      </c>
      <c r="H724" s="7" t="str">
        <f>T("20100101")</f>
        <v>20100101</v>
      </c>
      <c r="I724" s="7">
        <v>50</v>
      </c>
      <c r="J724" s="7">
        <v>300</v>
      </c>
      <c r="K724" s="9" t="s">
        <v>1336</v>
      </c>
    </row>
    <row r="725" spans="1:11" x14ac:dyDescent="0.25">
      <c r="A725" s="5">
        <v>717</v>
      </c>
      <c r="B725" s="5">
        <v>57</v>
      </c>
      <c r="C725" s="10" t="s">
        <v>134</v>
      </c>
      <c r="D725" s="7" t="s">
        <v>2034</v>
      </c>
      <c r="E725" s="8" t="str">
        <f>T("自由的歷程:美利堅圖史")</f>
        <v>自由的歷程:美利堅圖史</v>
      </c>
      <c r="F725" s="7" t="s">
        <v>3184</v>
      </c>
      <c r="G725" s="7" t="str">
        <f>T("復旦大學")</f>
        <v>復旦大學</v>
      </c>
      <c r="H725" s="7" t="str">
        <f>T("20060801")</f>
        <v>20060801</v>
      </c>
      <c r="I725" s="7">
        <v>68</v>
      </c>
      <c r="J725" s="7">
        <v>408</v>
      </c>
      <c r="K725" s="9" t="s">
        <v>1336</v>
      </c>
    </row>
    <row r="726" spans="1:11" x14ac:dyDescent="0.25">
      <c r="A726" s="5">
        <v>718</v>
      </c>
      <c r="B726" s="5">
        <v>58</v>
      </c>
      <c r="C726" s="10" t="s">
        <v>394</v>
      </c>
      <c r="D726" s="7" t="s">
        <v>2035</v>
      </c>
      <c r="E726" s="8" t="str">
        <f>T("權力玩家：中國歷史上的大陰謀")</f>
        <v>權力玩家：中國歷史上的大陰謀</v>
      </c>
      <c r="F726" s="7" t="s">
        <v>3185</v>
      </c>
      <c r="G726" s="7" t="str">
        <f>T("復旦大學")</f>
        <v>復旦大學</v>
      </c>
      <c r="H726" s="7" t="str">
        <f>T("20090301")</f>
        <v>20090301</v>
      </c>
      <c r="I726" s="7">
        <v>22</v>
      </c>
      <c r="J726" s="7">
        <v>132</v>
      </c>
      <c r="K726" s="9" t="s">
        <v>1336</v>
      </c>
    </row>
    <row r="727" spans="1:11" x14ac:dyDescent="0.25">
      <c r="A727" s="5">
        <v>719</v>
      </c>
      <c r="B727" s="5">
        <v>59</v>
      </c>
      <c r="C727" s="10" t="s">
        <v>424</v>
      </c>
      <c r="D727" s="7" t="s">
        <v>2036</v>
      </c>
      <c r="E727" s="8" t="str">
        <f>T("戰國那些事兒")</f>
        <v>戰國那些事兒</v>
      </c>
      <c r="F727" s="7" t="s">
        <v>3186</v>
      </c>
      <c r="G727" s="7" t="str">
        <f>T("中國工人")</f>
        <v>中國工人</v>
      </c>
      <c r="H727" s="7" t="str">
        <f>T("20090101")</f>
        <v>20090101</v>
      </c>
      <c r="I727" s="7">
        <v>34.799999999999997</v>
      </c>
      <c r="J727" s="7">
        <v>209</v>
      </c>
      <c r="K727" s="9" t="s">
        <v>1336</v>
      </c>
    </row>
    <row r="728" spans="1:11" x14ac:dyDescent="0.25">
      <c r="A728" s="5">
        <v>720</v>
      </c>
      <c r="B728" s="5">
        <v>60</v>
      </c>
      <c r="C728" s="10" t="s">
        <v>425</v>
      </c>
      <c r="D728" s="7" t="s">
        <v>2037</v>
      </c>
      <c r="E728" s="8" t="str">
        <f>T("歷史密碼--揭開歷史背後的神秘真相")</f>
        <v>歷史密碼--揭開歷史背後的神秘真相</v>
      </c>
      <c r="F728" s="7" t="s">
        <v>3187</v>
      </c>
      <c r="G728" s="7" t="str">
        <f>T("中國工人")</f>
        <v>中國工人</v>
      </c>
      <c r="H728" s="7" t="str">
        <f>T("20091101")</f>
        <v>20091101</v>
      </c>
      <c r="I728" s="7">
        <v>25</v>
      </c>
      <c r="J728" s="7">
        <v>150</v>
      </c>
      <c r="K728" s="9" t="s">
        <v>1336</v>
      </c>
    </row>
    <row r="729" spans="1:11" x14ac:dyDescent="0.25">
      <c r="A729" s="5">
        <v>721</v>
      </c>
      <c r="B729" s="5">
        <v>61</v>
      </c>
      <c r="C729" s="10" t="s">
        <v>426</v>
      </c>
      <c r="D729" s="7" t="s">
        <v>2038</v>
      </c>
      <c r="E729" s="8" t="str">
        <f>T("白壽蠡講歷史--明清卷")</f>
        <v>白壽蠡講歷史--明清卷</v>
      </c>
      <c r="F729" s="7" t="s">
        <v>3188</v>
      </c>
      <c r="G729" s="7" t="str">
        <f>T("中國工人")</f>
        <v>中國工人</v>
      </c>
      <c r="H729" s="7" t="str">
        <f>T("20091101")</f>
        <v>20091101</v>
      </c>
      <c r="I729" s="7">
        <v>35</v>
      </c>
      <c r="J729" s="7">
        <v>210</v>
      </c>
      <c r="K729" s="9" t="s">
        <v>1336</v>
      </c>
    </row>
    <row r="730" spans="1:11" x14ac:dyDescent="0.25">
      <c r="A730" s="5">
        <v>722</v>
      </c>
      <c r="B730" s="5">
        <v>62</v>
      </c>
      <c r="C730" s="10" t="s">
        <v>220</v>
      </c>
      <c r="D730" s="7" t="s">
        <v>2039</v>
      </c>
      <c r="E730" s="8" t="str">
        <f>T("荊楚風流人物")</f>
        <v>荊楚風流人物</v>
      </c>
      <c r="F730" s="7" t="s">
        <v>3189</v>
      </c>
      <c r="G730" s="7" t="str">
        <f>T("新華")</f>
        <v>新華</v>
      </c>
      <c r="H730" s="7" t="str">
        <f>T("20051201")</f>
        <v>20051201</v>
      </c>
      <c r="I730" s="7">
        <v>39.799999999999997</v>
      </c>
      <c r="J730" s="7">
        <v>239</v>
      </c>
      <c r="K730" s="9" t="s">
        <v>1336</v>
      </c>
    </row>
    <row r="731" spans="1:11" ht="28.5" x14ac:dyDescent="0.25">
      <c r="A731" s="5">
        <v>723</v>
      </c>
      <c r="B731" s="5">
        <v>63</v>
      </c>
      <c r="C731" s="10" t="s">
        <v>339</v>
      </c>
      <c r="D731" s="7" t="s">
        <v>1962</v>
      </c>
      <c r="E731" s="8" t="str">
        <f>T("地方志人物傳記資料叢刊．東北卷--人名索引")</f>
        <v>地方志人物傳記資料叢刊．東北卷--人名索引</v>
      </c>
      <c r="F731" s="7" t="s">
        <v>3190</v>
      </c>
      <c r="G731" s="7" t="str">
        <f>T("北京圖書館")</f>
        <v>北京圖書館</v>
      </c>
      <c r="H731" s="7" t="str">
        <f>T("20031201")</f>
        <v>20031201</v>
      </c>
      <c r="I731" s="7">
        <v>50</v>
      </c>
      <c r="J731" s="7">
        <v>300</v>
      </c>
      <c r="K731" s="9" t="s">
        <v>1336</v>
      </c>
    </row>
    <row r="732" spans="1:11" x14ac:dyDescent="0.25">
      <c r="A732" s="5">
        <v>724</v>
      </c>
      <c r="B732" s="5">
        <v>64</v>
      </c>
      <c r="C732" s="10" t="s">
        <v>864</v>
      </c>
      <c r="D732" s="7" t="s">
        <v>2040</v>
      </c>
      <c r="E732" s="8" t="str">
        <f>T("贏政大帝")</f>
        <v>贏政大帝</v>
      </c>
      <c r="F732" s="7" t="s">
        <v>3191</v>
      </c>
      <c r="G732" s="7" t="str">
        <f>T("北京圖書館")</f>
        <v>北京圖書館</v>
      </c>
      <c r="H732" s="7" t="str">
        <f>T("20070401")</f>
        <v>20070401</v>
      </c>
      <c r="I732" s="7">
        <v>32</v>
      </c>
      <c r="J732" s="7">
        <v>192</v>
      </c>
      <c r="K732" s="9" t="s">
        <v>1336</v>
      </c>
    </row>
    <row r="733" spans="1:11" x14ac:dyDescent="0.25">
      <c r="A733" s="5">
        <v>725</v>
      </c>
      <c r="B733" s="5">
        <v>65</v>
      </c>
      <c r="C733" s="10" t="s">
        <v>468</v>
      </c>
      <c r="D733" s="7" t="s">
        <v>2041</v>
      </c>
      <c r="E733" s="8" t="str">
        <f>T("誰謀殺了大唐")</f>
        <v>誰謀殺了大唐</v>
      </c>
      <c r="F733" s="7" t="s">
        <v>3192</v>
      </c>
      <c r="G733" s="7" t="str">
        <f>T("中國經濟")</f>
        <v>中國經濟</v>
      </c>
      <c r="H733" s="7" t="str">
        <f>T("20100101")</f>
        <v>20100101</v>
      </c>
      <c r="I733" s="7">
        <v>29.8</v>
      </c>
      <c r="J733" s="7">
        <v>179</v>
      </c>
      <c r="K733" s="9" t="s">
        <v>1336</v>
      </c>
    </row>
    <row r="734" spans="1:11" x14ac:dyDescent="0.25">
      <c r="A734" s="5">
        <v>726</v>
      </c>
      <c r="B734" s="5">
        <v>66</v>
      </c>
      <c r="C734" s="10" t="s">
        <v>122</v>
      </c>
      <c r="D734" s="7" t="s">
        <v>2042</v>
      </c>
      <c r="E734" s="8" t="str">
        <f>T("中國的脊梁：漢代的一百個老百姓")</f>
        <v>中國的脊梁：漢代的一百個老百姓</v>
      </c>
      <c r="F734" s="7" t="s">
        <v>3193</v>
      </c>
      <c r="G734" s="7" t="str">
        <f t="shared" ref="G734:G740" si="37">T("中國文史")</f>
        <v>中國文史</v>
      </c>
      <c r="H734" s="7" t="str">
        <f t="shared" ref="H734:H739" si="38">T("20090101")</f>
        <v>20090101</v>
      </c>
      <c r="I734" s="7">
        <v>25</v>
      </c>
      <c r="J734" s="7">
        <v>150</v>
      </c>
      <c r="K734" s="9" t="s">
        <v>1336</v>
      </c>
    </row>
    <row r="735" spans="1:11" x14ac:dyDescent="0.25">
      <c r="A735" s="5">
        <v>727</v>
      </c>
      <c r="B735" s="5">
        <v>67</v>
      </c>
      <c r="C735" s="10" t="s">
        <v>123</v>
      </c>
      <c r="D735" s="7" t="s">
        <v>2043</v>
      </c>
      <c r="E735" s="8" t="str">
        <f>T("中國的脊梁：隋唐五代一百個老百姓")</f>
        <v>中國的脊梁：隋唐五代一百個老百姓</v>
      </c>
      <c r="F735" s="7" t="s">
        <v>3194</v>
      </c>
      <c r="G735" s="7" t="str">
        <f t="shared" si="37"/>
        <v>中國文史</v>
      </c>
      <c r="H735" s="7" t="str">
        <f t="shared" si="38"/>
        <v>20090101</v>
      </c>
      <c r="I735" s="7">
        <v>25</v>
      </c>
      <c r="J735" s="7">
        <v>150</v>
      </c>
      <c r="K735" s="9" t="s">
        <v>1336</v>
      </c>
    </row>
    <row r="736" spans="1:11" x14ac:dyDescent="0.25">
      <c r="A736" s="5">
        <v>728</v>
      </c>
      <c r="B736" s="5">
        <v>68</v>
      </c>
      <c r="C736" s="10" t="s">
        <v>124</v>
      </c>
      <c r="D736" s="7" t="s">
        <v>2044</v>
      </c>
      <c r="E736" s="8" t="str">
        <f>T("中國的脊梁：宋代一百個老百姓")</f>
        <v>中國的脊梁：宋代一百個老百姓</v>
      </c>
      <c r="F736" s="7" t="s">
        <v>3195</v>
      </c>
      <c r="G736" s="7" t="str">
        <f t="shared" si="37"/>
        <v>中國文史</v>
      </c>
      <c r="H736" s="7" t="str">
        <f t="shared" si="38"/>
        <v>20090101</v>
      </c>
      <c r="I736" s="7">
        <v>27</v>
      </c>
      <c r="J736" s="7">
        <v>162</v>
      </c>
      <c r="K736" s="9" t="s">
        <v>1336</v>
      </c>
    </row>
    <row r="737" spans="1:11" x14ac:dyDescent="0.25">
      <c r="A737" s="5">
        <v>729</v>
      </c>
      <c r="B737" s="5">
        <v>69</v>
      </c>
      <c r="C737" s="10" t="s">
        <v>125</v>
      </c>
      <c r="D737" s="7" t="s">
        <v>2045</v>
      </c>
      <c r="E737" s="8" t="str">
        <f>T("中國的脊梁：元代的一百個老百姓")</f>
        <v>中國的脊梁：元代的一百個老百姓</v>
      </c>
      <c r="F737" s="7" t="s">
        <v>3195</v>
      </c>
      <c r="G737" s="7" t="str">
        <f t="shared" si="37"/>
        <v>中國文史</v>
      </c>
      <c r="H737" s="7" t="str">
        <f t="shared" si="38"/>
        <v>20090101</v>
      </c>
      <c r="I737" s="7">
        <v>27</v>
      </c>
      <c r="J737" s="7">
        <v>162</v>
      </c>
      <c r="K737" s="9" t="s">
        <v>1336</v>
      </c>
    </row>
    <row r="738" spans="1:11" x14ac:dyDescent="0.25">
      <c r="A738" s="5">
        <v>730</v>
      </c>
      <c r="B738" s="5">
        <v>70</v>
      </c>
      <c r="C738" s="10" t="s">
        <v>270</v>
      </c>
      <c r="D738" s="7" t="s">
        <v>2046</v>
      </c>
      <c r="E738" s="8" t="str">
        <f>T("中國的脊梁：明代一百個老百姓")</f>
        <v>中國的脊梁：明代一百個老百姓</v>
      </c>
      <c r="F738" s="7" t="s">
        <v>3195</v>
      </c>
      <c r="G738" s="7" t="str">
        <f t="shared" si="37"/>
        <v>中國文史</v>
      </c>
      <c r="H738" s="7" t="str">
        <f t="shared" si="38"/>
        <v>20090101</v>
      </c>
      <c r="I738" s="7">
        <v>28.8</v>
      </c>
      <c r="J738" s="7">
        <v>173</v>
      </c>
      <c r="K738" s="9" t="s">
        <v>1336</v>
      </c>
    </row>
    <row r="739" spans="1:11" x14ac:dyDescent="0.25">
      <c r="A739" s="5">
        <v>731</v>
      </c>
      <c r="B739" s="5">
        <v>71</v>
      </c>
      <c r="C739" s="10" t="s">
        <v>271</v>
      </c>
      <c r="D739" s="7" t="s">
        <v>2047</v>
      </c>
      <c r="E739" s="8" t="str">
        <f>T("中國的脊梁：抗戰時期的一百個老百姓")</f>
        <v>中國的脊梁：抗戰時期的一百個老百姓</v>
      </c>
      <c r="F739" s="7" t="s">
        <v>3196</v>
      </c>
      <c r="G739" s="7" t="str">
        <f t="shared" si="37"/>
        <v>中國文史</v>
      </c>
      <c r="H739" s="7" t="str">
        <f t="shared" si="38"/>
        <v>20090101</v>
      </c>
      <c r="I739" s="7">
        <v>27</v>
      </c>
      <c r="J739" s="7">
        <v>162</v>
      </c>
      <c r="K739" s="9" t="s">
        <v>1336</v>
      </c>
    </row>
    <row r="740" spans="1:11" x14ac:dyDescent="0.25">
      <c r="A740" s="5">
        <v>732</v>
      </c>
      <c r="B740" s="5">
        <v>72</v>
      </c>
      <c r="C740" s="10" t="s">
        <v>272</v>
      </c>
      <c r="D740" s="7" t="s">
        <v>2048</v>
      </c>
      <c r="E740" s="8" t="str">
        <f>T("清史霸業之清王朝的締造者")</f>
        <v>清史霸業之清王朝的締造者</v>
      </c>
      <c r="F740" s="7" t="s">
        <v>3197</v>
      </c>
      <c r="G740" s="7" t="str">
        <f t="shared" si="37"/>
        <v>中國文史</v>
      </c>
      <c r="H740" s="7" t="str">
        <f>T("20100101")</f>
        <v>20100101</v>
      </c>
      <c r="I740" s="7">
        <v>29.8</v>
      </c>
      <c r="J740" s="7">
        <v>179</v>
      </c>
      <c r="K740" s="9" t="s">
        <v>1336</v>
      </c>
    </row>
    <row r="741" spans="1:11" x14ac:dyDescent="0.25">
      <c r="A741" s="5">
        <v>733</v>
      </c>
      <c r="B741" s="5">
        <v>73</v>
      </c>
      <c r="C741" s="10" t="s">
        <v>26</v>
      </c>
      <c r="D741" s="7" t="s">
        <v>2049</v>
      </c>
      <c r="E741" s="8" t="str">
        <f>T("輕鬆幽默侃唐朝·潛龍在淵")</f>
        <v>輕鬆幽默侃唐朝·潛龍在淵</v>
      </c>
      <c r="F741" s="7" t="s">
        <v>3198</v>
      </c>
      <c r="G741" s="7" t="str">
        <f>T("文化藝術")</f>
        <v>文化藝術</v>
      </c>
      <c r="H741" s="7" t="str">
        <f>T("20100601")</f>
        <v>20100601</v>
      </c>
      <c r="I741" s="7">
        <v>29.8</v>
      </c>
      <c r="J741" s="7">
        <v>179</v>
      </c>
      <c r="K741" s="9" t="s">
        <v>1336</v>
      </c>
    </row>
    <row r="742" spans="1:11" x14ac:dyDescent="0.25">
      <c r="A742" s="5">
        <v>734</v>
      </c>
      <c r="B742" s="5">
        <v>74</v>
      </c>
      <c r="C742" s="10" t="s">
        <v>20</v>
      </c>
      <c r="D742" s="7" t="s">
        <v>2050</v>
      </c>
      <c r="E742" s="8" t="str">
        <f>T("三國群英新傳")</f>
        <v>三國群英新傳</v>
      </c>
      <c r="F742" s="7" t="s">
        <v>3199</v>
      </c>
      <c r="G742" s="7" t="str">
        <f>T("廣播電視")</f>
        <v>廣播電視</v>
      </c>
      <c r="H742" s="7" t="str">
        <f>T("20090401")</f>
        <v>20090401</v>
      </c>
      <c r="I742" s="7">
        <v>26</v>
      </c>
      <c r="J742" s="7">
        <v>156</v>
      </c>
      <c r="K742" s="9" t="s">
        <v>1336</v>
      </c>
    </row>
    <row r="743" spans="1:11" x14ac:dyDescent="0.25">
      <c r="A743" s="5">
        <v>735</v>
      </c>
      <c r="B743" s="5">
        <v>75</v>
      </c>
      <c r="C743" s="10" t="s">
        <v>21</v>
      </c>
      <c r="D743" s="7" t="s">
        <v>2051</v>
      </c>
      <c r="E743" s="8" t="str">
        <f>T("千古風流話周瑜")</f>
        <v>千古風流話周瑜</v>
      </c>
      <c r="F743" s="7" t="s">
        <v>3200</v>
      </c>
      <c r="G743" s="7" t="str">
        <f>T("廣播電視")</f>
        <v>廣播電視</v>
      </c>
      <c r="H743" s="7" t="str">
        <f>T("20090401")</f>
        <v>20090401</v>
      </c>
      <c r="I743" s="7">
        <v>24</v>
      </c>
      <c r="J743" s="7">
        <v>144</v>
      </c>
      <c r="K743" s="9" t="s">
        <v>1336</v>
      </c>
    </row>
    <row r="744" spans="1:11" x14ac:dyDescent="0.25">
      <c r="A744" s="5">
        <v>736</v>
      </c>
      <c r="B744" s="5">
        <v>76</v>
      </c>
      <c r="C744" s="10" t="s">
        <v>22</v>
      </c>
      <c r="D744" s="7" t="s">
        <v>2052</v>
      </c>
      <c r="E744" s="8" t="str">
        <f>T("戊戌追殺令")</f>
        <v>戊戌追殺令</v>
      </c>
      <c r="F744" s="7" t="s">
        <v>3201</v>
      </c>
      <c r="G744" s="7" t="str">
        <f>T("廣播電視")</f>
        <v>廣播電視</v>
      </c>
      <c r="H744" s="7" t="str">
        <f>T("20100211")</f>
        <v>20100211</v>
      </c>
      <c r="I744" s="7">
        <v>26</v>
      </c>
      <c r="J744" s="7">
        <v>156</v>
      </c>
      <c r="K744" s="9" t="s">
        <v>1336</v>
      </c>
    </row>
    <row r="745" spans="1:11" x14ac:dyDescent="0.25">
      <c r="A745" s="5">
        <v>737</v>
      </c>
      <c r="B745" s="5">
        <v>77</v>
      </c>
      <c r="C745" s="10" t="s">
        <v>836</v>
      </c>
      <c r="D745" s="7" t="s">
        <v>2053</v>
      </c>
      <c r="E745" s="8" t="str">
        <f>T("韓非子傳奇(先秦諸子傳奇)")</f>
        <v>韓非子傳奇(先秦諸子傳奇)</v>
      </c>
      <c r="F745" s="7" t="s">
        <v>3202</v>
      </c>
      <c r="G745" s="7" t="str">
        <f>T("東方")</f>
        <v>東方</v>
      </c>
      <c r="H745" s="7" t="str">
        <f>T("20090401")</f>
        <v>20090401</v>
      </c>
      <c r="I745" s="7">
        <v>28</v>
      </c>
      <c r="J745" s="7">
        <v>168</v>
      </c>
      <c r="K745" s="9" t="s">
        <v>1336</v>
      </c>
    </row>
    <row r="746" spans="1:11" x14ac:dyDescent="0.25">
      <c r="A746" s="5">
        <v>738</v>
      </c>
      <c r="B746" s="5">
        <v>78</v>
      </c>
      <c r="C746" s="10" t="s">
        <v>422</v>
      </c>
      <c r="D746" s="7" t="s">
        <v>2054</v>
      </c>
      <c r="E746" s="8" t="str">
        <f>T("讓歷史復活")</f>
        <v>讓歷史復活</v>
      </c>
      <c r="F746" s="7" t="s">
        <v>3203</v>
      </c>
      <c r="G746" s="7" t="str">
        <f>T("作家")</f>
        <v>作家</v>
      </c>
      <c r="H746" s="7" t="str">
        <f>T("20090101")</f>
        <v>20090101</v>
      </c>
      <c r="I746" s="7">
        <v>22</v>
      </c>
      <c r="J746" s="7">
        <v>132</v>
      </c>
      <c r="K746" s="9" t="s">
        <v>1336</v>
      </c>
    </row>
    <row r="747" spans="1:11" x14ac:dyDescent="0.25">
      <c r="A747" s="5">
        <v>739</v>
      </c>
      <c r="B747" s="5">
        <v>79</v>
      </c>
      <c r="C747" s="10" t="s">
        <v>59</v>
      </c>
      <c r="D747" s="7" t="s">
        <v>2055</v>
      </c>
      <c r="E747" s="8" t="str">
        <f>T("東漢那些事兒.第1卷，布衣天子的崛起")</f>
        <v>東漢那些事兒.第1卷，布衣天子的崛起</v>
      </c>
      <c r="F747" s="7" t="s">
        <v>3204</v>
      </c>
      <c r="G747" s="7" t="str">
        <f>T("華文")</f>
        <v>華文</v>
      </c>
      <c r="H747" s="7" t="str">
        <f>T("20090601")</f>
        <v>20090601</v>
      </c>
      <c r="I747" s="7">
        <v>28.8</v>
      </c>
      <c r="J747" s="7">
        <v>173</v>
      </c>
      <c r="K747" s="9" t="s">
        <v>1336</v>
      </c>
    </row>
    <row r="748" spans="1:11" x14ac:dyDescent="0.25">
      <c r="A748" s="5">
        <v>740</v>
      </c>
      <c r="B748" s="5">
        <v>80</v>
      </c>
      <c r="C748" s="10" t="s">
        <v>95</v>
      </c>
      <c r="D748" s="7" t="s">
        <v>2056</v>
      </c>
      <c r="E748" s="8" t="str">
        <f>T("秦漢史十二講(中國歷史大講堂)")</f>
        <v>秦漢史十二講(中國歷史大講堂)</v>
      </c>
      <c r="F748" s="7" t="s">
        <v>2959</v>
      </c>
      <c r="G748" s="7" t="str">
        <f>T("國際廣播")</f>
        <v>國際廣播</v>
      </c>
      <c r="H748" s="7" t="str">
        <f>T("20090101")</f>
        <v>20090101</v>
      </c>
      <c r="I748" s="7">
        <v>30</v>
      </c>
      <c r="J748" s="7">
        <v>180</v>
      </c>
      <c r="K748" s="9" t="s">
        <v>1336</v>
      </c>
    </row>
    <row r="749" spans="1:11" x14ac:dyDescent="0.25">
      <c r="A749" s="5">
        <v>741</v>
      </c>
      <c r="B749" s="5">
        <v>81</v>
      </c>
      <c r="C749" s="10" t="s">
        <v>581</v>
      </c>
      <c r="D749" s="7" t="s">
        <v>2057</v>
      </c>
      <c r="E749" s="8" t="str">
        <f>T("努爾哈赤")</f>
        <v>努爾哈赤</v>
      </c>
      <c r="F749" s="7" t="s">
        <v>3205</v>
      </c>
      <c r="G749" s="7" t="str">
        <f>T("華夏")</f>
        <v>華夏</v>
      </c>
      <c r="H749" s="7" t="str">
        <f>T("20100401")</f>
        <v>20100401</v>
      </c>
      <c r="I749" s="7">
        <v>32</v>
      </c>
      <c r="J749" s="7">
        <v>192</v>
      </c>
      <c r="K749" s="9" t="s">
        <v>1336</v>
      </c>
    </row>
    <row r="750" spans="1:11" x14ac:dyDescent="0.25">
      <c r="A750" s="5">
        <v>742</v>
      </c>
      <c r="B750" s="5">
        <v>82</v>
      </c>
      <c r="C750" s="10" t="s">
        <v>464</v>
      </c>
      <c r="D750" s="7" t="s">
        <v>2058</v>
      </c>
      <c r="E750" s="8" t="str">
        <f>T("成吉思汗的大元攻略")</f>
        <v>成吉思汗的大元攻略</v>
      </c>
      <c r="F750" s="7" t="s">
        <v>3206</v>
      </c>
      <c r="G750" s="7" t="str">
        <f>T("華夏")</f>
        <v>華夏</v>
      </c>
      <c r="H750" s="7" t="str">
        <f>T("20100101")</f>
        <v>20100101</v>
      </c>
      <c r="I750" s="7">
        <v>29.8</v>
      </c>
      <c r="J750" s="7">
        <v>179</v>
      </c>
      <c r="K750" s="9" t="s">
        <v>1336</v>
      </c>
    </row>
    <row r="751" spans="1:11" x14ac:dyDescent="0.25">
      <c r="A751" s="5">
        <v>743</v>
      </c>
      <c r="B751" s="5">
        <v>83</v>
      </c>
      <c r="C751" s="10" t="s">
        <v>465</v>
      </c>
      <c r="D751" s="7" t="s">
        <v>2059</v>
      </c>
      <c r="E751" s="8" t="str">
        <f>T("康熙的人生謀略")</f>
        <v>康熙的人生謀略</v>
      </c>
      <c r="F751" s="7" t="s">
        <v>3206</v>
      </c>
      <c r="G751" s="7" t="str">
        <f>T("華夏")</f>
        <v>華夏</v>
      </c>
      <c r="H751" s="7" t="str">
        <f>T("20101101")</f>
        <v>20101101</v>
      </c>
      <c r="I751" s="7">
        <v>29.8</v>
      </c>
      <c r="J751" s="7">
        <v>179</v>
      </c>
      <c r="K751" s="9" t="s">
        <v>1336</v>
      </c>
    </row>
    <row r="752" spans="1:11" x14ac:dyDescent="0.25">
      <c r="A752" s="5">
        <v>744</v>
      </c>
      <c r="B752" s="5">
        <v>84</v>
      </c>
      <c r="C752" s="10" t="s">
        <v>466</v>
      </c>
      <c r="D752" s="7" t="s">
        <v>2060</v>
      </c>
      <c r="E752" s="8" t="str">
        <f>T("朱元璋的安邦智略")</f>
        <v>朱元璋的安邦智略</v>
      </c>
      <c r="F752" s="7" t="s">
        <v>3206</v>
      </c>
      <c r="G752" s="7" t="str">
        <f>T("華夏")</f>
        <v>華夏</v>
      </c>
      <c r="H752" s="7" t="str">
        <f>T("20100101")</f>
        <v>20100101</v>
      </c>
      <c r="I752" s="7">
        <v>29.8</v>
      </c>
      <c r="J752" s="7">
        <v>179</v>
      </c>
      <c r="K752" s="9" t="s">
        <v>1336</v>
      </c>
    </row>
    <row r="753" spans="1:11" x14ac:dyDescent="0.25">
      <c r="A753" s="5">
        <v>745</v>
      </c>
      <c r="B753" s="5">
        <v>85</v>
      </c>
      <c r="C753" s="10" t="s">
        <v>268</v>
      </c>
      <c r="D753" s="7" t="s">
        <v>2061</v>
      </c>
      <c r="E753" s="8" t="str">
        <f>T("大清盛世")</f>
        <v>大清盛世</v>
      </c>
      <c r="F753" s="7" t="s">
        <v>3207</v>
      </c>
      <c r="G753" s="7" t="str">
        <f>T("當代世界")</f>
        <v>當代世界</v>
      </c>
      <c r="H753" s="7" t="str">
        <f>T("20060101")</f>
        <v>20060101</v>
      </c>
      <c r="I753" s="7">
        <v>58</v>
      </c>
      <c r="J753" s="7">
        <v>348</v>
      </c>
      <c r="K753" s="9" t="s">
        <v>1336</v>
      </c>
    </row>
    <row r="754" spans="1:11" x14ac:dyDescent="0.25">
      <c r="A754" s="5">
        <v>746</v>
      </c>
      <c r="B754" s="5">
        <v>86</v>
      </c>
      <c r="C754" s="10" t="s">
        <v>161</v>
      </c>
      <c r="D754" s="7" t="s">
        <v>2062</v>
      </c>
      <c r="E754" s="8" t="str">
        <f>T("中國共產黨與當代中國外交(1949-2009)")</f>
        <v>中國共產黨與當代中國外交(1949-2009)</v>
      </c>
      <c r="F754" s="7" t="s">
        <v>3208</v>
      </c>
      <c r="G754" s="7" t="str">
        <f>T("中共黨史")</f>
        <v>中共黨史</v>
      </c>
      <c r="H754" s="7" t="str">
        <f>T("20100301")</f>
        <v>20100301</v>
      </c>
      <c r="I754" s="7">
        <v>45</v>
      </c>
      <c r="J754" s="7">
        <v>270</v>
      </c>
      <c r="K754" s="9" t="s">
        <v>1336</v>
      </c>
    </row>
    <row r="755" spans="1:11" x14ac:dyDescent="0.25">
      <c r="A755" s="5">
        <v>747</v>
      </c>
      <c r="B755" s="5">
        <v>87</v>
      </c>
      <c r="C755" s="10" t="s">
        <v>167</v>
      </c>
      <c r="D755" s="7" t="s">
        <v>2063</v>
      </c>
      <c r="E755" s="8" t="str">
        <f>T("歷史與神聖性：歷史人類學散論集")</f>
        <v>歷史與神聖性：歷史人類學散論集</v>
      </c>
      <c r="F755" s="7" t="s">
        <v>3209</v>
      </c>
      <c r="G755" s="7" t="str">
        <f>T("北京圖書館")</f>
        <v>北京圖書館</v>
      </c>
      <c r="H755" s="7" t="str">
        <f>T("20091201")</f>
        <v>20091201</v>
      </c>
      <c r="I755" s="7">
        <v>28</v>
      </c>
      <c r="J755" s="7">
        <v>168</v>
      </c>
      <c r="K755" s="9" t="s">
        <v>1336</v>
      </c>
    </row>
    <row r="756" spans="1:11" x14ac:dyDescent="0.25">
      <c r="A756" s="5">
        <v>748</v>
      </c>
      <c r="B756" s="5">
        <v>88</v>
      </c>
      <c r="C756" s="10" t="s">
        <v>170</v>
      </c>
      <c r="D756" s="7" t="s">
        <v>2064</v>
      </c>
      <c r="E756" s="8" t="str">
        <f>T("謀說天下：謀漢")</f>
        <v>謀說天下：謀漢</v>
      </c>
      <c r="F756" s="7" t="s">
        <v>3210</v>
      </c>
      <c r="G756" s="7" t="str">
        <f>T("海豚")</f>
        <v>海豚</v>
      </c>
      <c r="H756" s="7" t="str">
        <f>T("20060701")</f>
        <v>20060701</v>
      </c>
      <c r="I756" s="7">
        <v>28</v>
      </c>
      <c r="J756" s="7">
        <v>168</v>
      </c>
      <c r="K756" s="9" t="s">
        <v>1336</v>
      </c>
    </row>
    <row r="757" spans="1:11" x14ac:dyDescent="0.25">
      <c r="A757" s="5">
        <v>749</v>
      </c>
      <c r="B757" s="5">
        <v>89</v>
      </c>
      <c r="C757" s="10" t="s">
        <v>171</v>
      </c>
      <c r="D757" s="7" t="s">
        <v>2065</v>
      </c>
      <c r="E757" s="8" t="str">
        <f>T("謀說天下：謀唐")</f>
        <v>謀說天下：謀唐</v>
      </c>
      <c r="F757" s="7" t="s">
        <v>3211</v>
      </c>
      <c r="G757" s="7" t="str">
        <f>T("海豚")</f>
        <v>海豚</v>
      </c>
      <c r="H757" s="7" t="str">
        <f>T("20060701")</f>
        <v>20060701</v>
      </c>
      <c r="I757" s="7">
        <v>28</v>
      </c>
      <c r="J757" s="7">
        <v>168</v>
      </c>
      <c r="K757" s="9" t="s">
        <v>1336</v>
      </c>
    </row>
    <row r="758" spans="1:11" x14ac:dyDescent="0.25">
      <c r="A758" s="5">
        <v>750</v>
      </c>
      <c r="B758" s="5">
        <v>90</v>
      </c>
      <c r="C758" s="10" t="s">
        <v>172</v>
      </c>
      <c r="D758" s="7" t="s">
        <v>2066</v>
      </c>
      <c r="E758" s="8" t="str">
        <f>T("謀說天下：謀宋")</f>
        <v>謀說天下：謀宋</v>
      </c>
      <c r="F758" s="7" t="s">
        <v>3212</v>
      </c>
      <c r="G758" s="7" t="str">
        <f>T("海豚")</f>
        <v>海豚</v>
      </c>
      <c r="H758" s="7" t="str">
        <f>T("20060701")</f>
        <v>20060701</v>
      </c>
      <c r="I758" s="7">
        <v>28</v>
      </c>
      <c r="J758" s="7">
        <v>168</v>
      </c>
      <c r="K758" s="9" t="s">
        <v>1336</v>
      </c>
    </row>
    <row r="759" spans="1:11" x14ac:dyDescent="0.25">
      <c r="A759" s="5">
        <v>751</v>
      </c>
      <c r="B759" s="5">
        <v>91</v>
      </c>
      <c r="C759" s="10" t="s">
        <v>173</v>
      </c>
      <c r="D759" s="7" t="s">
        <v>2067</v>
      </c>
      <c r="E759" s="8" t="str">
        <f>T("謀說天下：謀元")</f>
        <v>謀說天下：謀元</v>
      </c>
      <c r="F759" s="7" t="s">
        <v>3213</v>
      </c>
      <c r="G759" s="7" t="str">
        <f>T("海豚")</f>
        <v>海豚</v>
      </c>
      <c r="H759" s="7" t="str">
        <f>T("20060701")</f>
        <v>20060701</v>
      </c>
      <c r="I759" s="7">
        <v>28</v>
      </c>
      <c r="J759" s="7">
        <v>168</v>
      </c>
      <c r="K759" s="9" t="s">
        <v>1336</v>
      </c>
    </row>
    <row r="760" spans="1:11" x14ac:dyDescent="0.25">
      <c r="A760" s="5">
        <v>752</v>
      </c>
      <c r="B760" s="5">
        <v>92</v>
      </c>
      <c r="C760" s="10" t="s">
        <v>34</v>
      </c>
      <c r="D760" s="7" t="s">
        <v>2068</v>
      </c>
      <c r="E760" s="8" t="str">
        <f>T("這就是元史")</f>
        <v>這就是元史</v>
      </c>
      <c r="F760" s="7" t="s">
        <v>3214</v>
      </c>
      <c r="G760" s="7" t="str">
        <f>T("中國華僑")</f>
        <v>中國華僑</v>
      </c>
      <c r="H760" s="7" t="str">
        <f>T("20100201")</f>
        <v>20100201</v>
      </c>
      <c r="I760" s="7">
        <v>30</v>
      </c>
      <c r="J760" s="7">
        <v>180</v>
      </c>
      <c r="K760" s="9" t="s">
        <v>1336</v>
      </c>
    </row>
    <row r="761" spans="1:11" x14ac:dyDescent="0.25">
      <c r="A761" s="5">
        <v>753</v>
      </c>
      <c r="B761" s="5">
        <v>93</v>
      </c>
      <c r="C761" s="10" t="s">
        <v>55</v>
      </c>
      <c r="D761" s="7" t="s">
        <v>2069</v>
      </c>
      <c r="E761" s="8" t="str">
        <f>T("騰空出世--毛澤東的青春歲月")</f>
        <v>騰空出世--毛澤東的青春歲月</v>
      </c>
      <c r="F761" s="7" t="s">
        <v>3215</v>
      </c>
      <c r="G761" s="7" t="str">
        <f>T("百花文藝")</f>
        <v>百花文藝</v>
      </c>
      <c r="H761" s="7" t="str">
        <f>T("20100101")</f>
        <v>20100101</v>
      </c>
      <c r="I761" s="7">
        <v>28</v>
      </c>
      <c r="J761" s="7">
        <v>168</v>
      </c>
      <c r="K761" s="9" t="s">
        <v>1336</v>
      </c>
    </row>
    <row r="762" spans="1:11" x14ac:dyDescent="0.25">
      <c r="A762" s="5">
        <v>754</v>
      </c>
      <c r="B762" s="5">
        <v>94</v>
      </c>
      <c r="C762" s="10" t="s">
        <v>96</v>
      </c>
      <c r="D762" s="7" t="s">
        <v>2070</v>
      </c>
      <c r="E762" s="8" t="str">
        <f>T("大秦霸業")</f>
        <v>大秦霸業</v>
      </c>
      <c r="F762" s="7" t="s">
        <v>3216</v>
      </c>
      <c r="G762" s="7" t="str">
        <f>T("北方文藝")</f>
        <v>北方文藝</v>
      </c>
      <c r="H762" s="7" t="str">
        <f>T("20070701")</f>
        <v>20070701</v>
      </c>
      <c r="I762" s="7">
        <v>22.8</v>
      </c>
      <c r="J762" s="7">
        <v>137</v>
      </c>
      <c r="K762" s="9" t="s">
        <v>1336</v>
      </c>
    </row>
    <row r="763" spans="1:11" ht="28.5" x14ac:dyDescent="0.25">
      <c r="A763" s="5">
        <v>755</v>
      </c>
      <c r="B763" s="5">
        <v>95</v>
      </c>
      <c r="C763" s="10" t="s">
        <v>5</v>
      </c>
      <c r="D763" s="7" t="s">
        <v>2071</v>
      </c>
      <c r="E763" s="8" t="str">
        <f>T("忽必烈大帝與察宓皇后-從遊牧汗國到大王朝")</f>
        <v>忽必烈大帝與察宓皇后-從遊牧汗國到大王朝</v>
      </c>
      <c r="F763" s="7" t="s">
        <v>3217</v>
      </c>
      <c r="G763" s="7" t="str">
        <f>T("上海文藝")</f>
        <v>上海文藝</v>
      </c>
      <c r="H763" s="7" t="str">
        <f>T("20100301")</f>
        <v>20100301</v>
      </c>
      <c r="I763" s="7">
        <v>42</v>
      </c>
      <c r="J763" s="7">
        <v>252</v>
      </c>
      <c r="K763" s="9" t="s">
        <v>1336</v>
      </c>
    </row>
    <row r="764" spans="1:11" ht="28.5" x14ac:dyDescent="0.25">
      <c r="A764" s="5">
        <v>756</v>
      </c>
      <c r="B764" s="5">
        <v>96</v>
      </c>
      <c r="C764" s="10" t="s">
        <v>624</v>
      </c>
      <c r="D764" s="7" t="s">
        <v>2072</v>
      </c>
      <c r="E764" s="8" t="s">
        <v>1337</v>
      </c>
      <c r="F764" s="7" t="s">
        <v>3218</v>
      </c>
      <c r="G764" s="7" t="str">
        <f t="shared" ref="G764:G767" si="39">T("齊魯書社")</f>
        <v>齊魯書社</v>
      </c>
      <c r="H764" s="7" t="str">
        <f>T("20090801")</f>
        <v>20090801</v>
      </c>
      <c r="I764" s="7">
        <v>24</v>
      </c>
      <c r="J764" s="7">
        <v>144</v>
      </c>
      <c r="K764" s="9" t="s">
        <v>1336</v>
      </c>
    </row>
    <row r="765" spans="1:11" x14ac:dyDescent="0.25">
      <c r="A765" s="5">
        <v>757</v>
      </c>
      <c r="B765" s="5">
        <v>97</v>
      </c>
      <c r="C765" s="10" t="s">
        <v>626</v>
      </c>
      <c r="D765" s="7" t="s">
        <v>2073</v>
      </c>
      <c r="E765" s="8" t="str">
        <f>T("唐朝開國六十年")</f>
        <v>唐朝開國六十年</v>
      </c>
      <c r="F765" s="7" t="s">
        <v>3219</v>
      </c>
      <c r="G765" s="7" t="str">
        <f t="shared" si="39"/>
        <v>齊魯書社</v>
      </c>
      <c r="H765" s="7" t="str">
        <f>T("20090901")</f>
        <v>20090901</v>
      </c>
      <c r="I765" s="7">
        <v>28</v>
      </c>
      <c r="J765" s="7">
        <v>168</v>
      </c>
      <c r="K765" s="9" t="s">
        <v>1336</v>
      </c>
    </row>
    <row r="766" spans="1:11" x14ac:dyDescent="0.25">
      <c r="A766" s="5">
        <v>758</v>
      </c>
      <c r="B766" s="5">
        <v>98</v>
      </c>
      <c r="C766" s="10" t="s">
        <v>628</v>
      </c>
      <c r="D766" s="7" t="s">
        <v>2074</v>
      </c>
      <c r="E766" s="8" t="str">
        <f>T("明朝開國六十年")</f>
        <v>明朝開國六十年</v>
      </c>
      <c r="F766" s="7" t="s">
        <v>3220</v>
      </c>
      <c r="G766" s="7" t="str">
        <f t="shared" si="39"/>
        <v>齊魯書社</v>
      </c>
      <c r="H766" s="7" t="str">
        <f>T("20090901")</f>
        <v>20090901</v>
      </c>
      <c r="I766" s="7">
        <v>27</v>
      </c>
      <c r="J766" s="7">
        <v>162</v>
      </c>
      <c r="K766" s="9" t="s">
        <v>1336</v>
      </c>
    </row>
    <row r="767" spans="1:11" x14ac:dyDescent="0.25">
      <c r="A767" s="5">
        <v>759</v>
      </c>
      <c r="B767" s="5">
        <v>99</v>
      </c>
      <c r="C767" s="10" t="s">
        <v>629</v>
      </c>
      <c r="D767" s="7" t="s">
        <v>2075</v>
      </c>
      <c r="E767" s="8" t="str">
        <f>T("宋朝開國六十年")</f>
        <v>宋朝開國六十年</v>
      </c>
      <c r="F767" s="7" t="s">
        <v>3221</v>
      </c>
      <c r="G767" s="7" t="str">
        <f t="shared" si="39"/>
        <v>齊魯書社</v>
      </c>
      <c r="H767" s="7" t="str">
        <f>T("20090901")</f>
        <v>20090901</v>
      </c>
      <c r="I767" s="7">
        <v>30</v>
      </c>
      <c r="J767" s="7">
        <v>180</v>
      </c>
      <c r="K767" s="9" t="s">
        <v>1336</v>
      </c>
    </row>
    <row r="768" spans="1:11" x14ac:dyDescent="0.25">
      <c r="A768" s="5">
        <v>760</v>
      </c>
      <c r="B768" s="5">
        <v>100</v>
      </c>
      <c r="C768" s="10" t="s">
        <v>642</v>
      </c>
      <c r="D768" s="7" t="s">
        <v>2076</v>
      </c>
      <c r="E768" s="8" t="str">
        <f>T("中華豐碑")</f>
        <v>中華豐碑</v>
      </c>
      <c r="F768" s="7" t="s">
        <v>3222</v>
      </c>
      <c r="G768" s="7" t="str">
        <f>T("大象")</f>
        <v>大象</v>
      </c>
      <c r="H768" s="7" t="str">
        <f>T("20090901")</f>
        <v>20090901</v>
      </c>
      <c r="I768" s="7">
        <v>39</v>
      </c>
      <c r="J768" s="7">
        <v>234</v>
      </c>
      <c r="K768" s="9" t="s">
        <v>1336</v>
      </c>
    </row>
    <row r="769" spans="1:11" x14ac:dyDescent="0.25">
      <c r="A769" s="5">
        <v>761</v>
      </c>
      <c r="B769" s="5">
        <v>101</v>
      </c>
      <c r="C769" s="10" t="s">
        <v>645</v>
      </c>
      <c r="D769" s="7" t="s">
        <v>2077</v>
      </c>
      <c r="E769" s="8" t="str">
        <f>T("大清歷史新聞. 康熙卷. 4")</f>
        <v>大清歷史新聞. 康熙卷. 4</v>
      </c>
      <c r="F769" s="7" t="s">
        <v>3223</v>
      </c>
      <c r="G769" s="7" t="str">
        <f t="shared" ref="G769:G773" si="40">T("中州古籍")</f>
        <v>中州古籍</v>
      </c>
      <c r="H769" s="7" t="str">
        <f>T("20080501")</f>
        <v>20080501</v>
      </c>
      <c r="I769" s="7">
        <v>20</v>
      </c>
      <c r="J769" s="7">
        <v>120</v>
      </c>
      <c r="K769" s="9" t="s">
        <v>1336</v>
      </c>
    </row>
    <row r="770" spans="1:11" x14ac:dyDescent="0.25">
      <c r="A770" s="5">
        <v>762</v>
      </c>
      <c r="B770" s="5">
        <v>102</v>
      </c>
      <c r="C770" s="10" t="s">
        <v>646</v>
      </c>
      <c r="D770" s="7" t="s">
        <v>2078</v>
      </c>
      <c r="E770" s="8" t="str">
        <f>T("大清歷史新聞. 康熙卷. 5")</f>
        <v>大清歷史新聞. 康熙卷. 5</v>
      </c>
      <c r="F770" s="7" t="s">
        <v>3224</v>
      </c>
      <c r="G770" s="7" t="str">
        <f t="shared" si="40"/>
        <v>中州古籍</v>
      </c>
      <c r="H770" s="7" t="str">
        <f>T("20080501")</f>
        <v>20080501</v>
      </c>
      <c r="I770" s="7">
        <v>20</v>
      </c>
      <c r="J770" s="7">
        <v>120</v>
      </c>
      <c r="K770" s="9" t="s">
        <v>1336</v>
      </c>
    </row>
    <row r="771" spans="1:11" x14ac:dyDescent="0.25">
      <c r="A771" s="5">
        <v>763</v>
      </c>
      <c r="B771" s="5">
        <v>103</v>
      </c>
      <c r="C771" s="10" t="s">
        <v>647</v>
      </c>
      <c r="D771" s="7" t="s">
        <v>2079</v>
      </c>
      <c r="E771" s="8" t="str">
        <f>T("大清歷史新聞. 雍正卷. 6")</f>
        <v>大清歷史新聞. 雍正卷. 6</v>
      </c>
      <c r="F771" s="7" t="s">
        <v>3225</v>
      </c>
      <c r="G771" s="7" t="str">
        <f t="shared" si="40"/>
        <v>中州古籍</v>
      </c>
      <c r="H771" s="7" t="str">
        <f>T("20080501")</f>
        <v>20080501</v>
      </c>
      <c r="I771" s="7">
        <v>20</v>
      </c>
      <c r="J771" s="7">
        <v>120</v>
      </c>
      <c r="K771" s="9" t="s">
        <v>1336</v>
      </c>
    </row>
    <row r="772" spans="1:11" x14ac:dyDescent="0.25">
      <c r="A772" s="5">
        <v>764</v>
      </c>
      <c r="B772" s="5">
        <v>104</v>
      </c>
      <c r="C772" s="10" t="s">
        <v>648</v>
      </c>
      <c r="D772" s="7" t="s">
        <v>2080</v>
      </c>
      <c r="E772" s="8" t="str">
        <f>T("大清歷史新聞. 乾隆卷. 7")</f>
        <v>大清歷史新聞. 乾隆卷. 7</v>
      </c>
      <c r="F772" s="7" t="s">
        <v>3226</v>
      </c>
      <c r="G772" s="7" t="str">
        <f t="shared" si="40"/>
        <v>中州古籍</v>
      </c>
      <c r="H772" s="7" t="str">
        <f>T("20080201")</f>
        <v>20080201</v>
      </c>
      <c r="I772" s="7">
        <v>20</v>
      </c>
      <c r="J772" s="7">
        <v>120</v>
      </c>
      <c r="K772" s="9" t="s">
        <v>1336</v>
      </c>
    </row>
    <row r="773" spans="1:11" x14ac:dyDescent="0.25">
      <c r="A773" s="5">
        <v>765</v>
      </c>
      <c r="B773" s="5">
        <v>105</v>
      </c>
      <c r="C773" s="10" t="s">
        <v>649</v>
      </c>
      <c r="D773" s="7" t="s">
        <v>2081</v>
      </c>
      <c r="E773" s="8" t="str">
        <f>T("大清歷史新聞. 乾隆卷. 8")</f>
        <v>大清歷史新聞. 乾隆卷. 8</v>
      </c>
      <c r="F773" s="7" t="s">
        <v>3227</v>
      </c>
      <c r="G773" s="7" t="str">
        <f t="shared" si="40"/>
        <v>中州古籍</v>
      </c>
      <c r="H773" s="7" t="str">
        <f>T("20080201")</f>
        <v>20080201</v>
      </c>
      <c r="I773" s="7">
        <v>20</v>
      </c>
      <c r="J773" s="7">
        <v>120</v>
      </c>
      <c r="K773" s="9" t="s">
        <v>1336</v>
      </c>
    </row>
    <row r="774" spans="1:11" x14ac:dyDescent="0.25">
      <c r="A774" s="5">
        <v>766</v>
      </c>
      <c r="B774" s="5">
        <v>106</v>
      </c>
      <c r="C774" s="10" t="s">
        <v>665</v>
      </c>
      <c r="D774" s="7" t="s">
        <v>2082</v>
      </c>
      <c r="E774" s="8" t="str">
        <f>T("盛世唐朝之誰是李世民（下）")</f>
        <v>盛世唐朝之誰是李世民（下）</v>
      </c>
      <c r="F774" s="7" t="s">
        <v>3228</v>
      </c>
      <c r="G774" s="7" t="str">
        <f>T("重慶")</f>
        <v>重慶</v>
      </c>
      <c r="H774" s="7" t="str">
        <f>T("20071001")</f>
        <v>20071001</v>
      </c>
      <c r="I774" s="7">
        <v>22</v>
      </c>
      <c r="J774" s="7">
        <v>132</v>
      </c>
      <c r="K774" s="9" t="s">
        <v>1336</v>
      </c>
    </row>
    <row r="775" spans="1:11" x14ac:dyDescent="0.25">
      <c r="A775" s="5">
        <v>767</v>
      </c>
      <c r="B775" s="5">
        <v>107</v>
      </c>
      <c r="C775" s="10" t="s">
        <v>669</v>
      </c>
      <c r="D775" s="7" t="s">
        <v>2083</v>
      </c>
      <c r="E775" s="8" t="str">
        <f>T("歷史色盲講故事—從戰國一直寫到東漢2")</f>
        <v>歷史色盲講故事—從戰國一直寫到東漢2</v>
      </c>
      <c r="F775" s="7" t="s">
        <v>3229</v>
      </c>
      <c r="G775" s="7" t="str">
        <f>T("遼寧教育")</f>
        <v>遼寧教育</v>
      </c>
      <c r="H775" s="7" t="str">
        <f>T("20100901")</f>
        <v>20100901</v>
      </c>
      <c r="I775" s="7">
        <v>29.8</v>
      </c>
      <c r="J775" s="7">
        <v>179</v>
      </c>
      <c r="K775" s="9" t="s">
        <v>1336</v>
      </c>
    </row>
    <row r="776" spans="1:11" x14ac:dyDescent="0.25">
      <c r="A776" s="5">
        <v>768</v>
      </c>
      <c r="B776" s="5">
        <v>108</v>
      </c>
      <c r="C776" s="10" t="s">
        <v>678</v>
      </c>
      <c r="D776" s="7" t="s">
        <v>2084</v>
      </c>
      <c r="E776" s="8" t="str">
        <f>T("中國史綱：張蔭麟")</f>
        <v>中國史綱：張蔭麟</v>
      </c>
      <c r="F776" s="7" t="s">
        <v>3230</v>
      </c>
      <c r="G776" s="7" t="str">
        <f>T("江蘇文藝")</f>
        <v>江蘇文藝</v>
      </c>
      <c r="H776" s="7" t="str">
        <f>T("20080101")</f>
        <v>20080101</v>
      </c>
      <c r="I776" s="7">
        <v>22</v>
      </c>
      <c r="J776" s="7">
        <v>132</v>
      </c>
      <c r="K776" s="9" t="s">
        <v>1336</v>
      </c>
    </row>
    <row r="777" spans="1:11" x14ac:dyDescent="0.25">
      <c r="A777" s="5">
        <v>769</v>
      </c>
      <c r="B777" s="5">
        <v>109</v>
      </c>
      <c r="C777" s="10" t="s">
        <v>679</v>
      </c>
      <c r="D777" s="7" t="s">
        <v>2085</v>
      </c>
      <c r="E777" s="8" t="str">
        <f>T("中國歷史研究法(北斗叢書)")</f>
        <v>中國歷史研究法(北斗叢書)</v>
      </c>
      <c r="F777" s="7" t="s">
        <v>2694</v>
      </c>
      <c r="G777" s="7" t="str">
        <f>T("江蘇文藝")</f>
        <v>江蘇文藝</v>
      </c>
      <c r="H777" s="7" t="str">
        <f>T("20080301")</f>
        <v>20080301</v>
      </c>
      <c r="I777" s="7">
        <v>30</v>
      </c>
      <c r="J777" s="7">
        <v>180</v>
      </c>
      <c r="K777" s="9" t="s">
        <v>1336</v>
      </c>
    </row>
    <row r="778" spans="1:11" x14ac:dyDescent="0.25">
      <c r="A778" s="5">
        <v>770</v>
      </c>
      <c r="B778" s="5">
        <v>110</v>
      </c>
      <c r="C778" s="10" t="s">
        <v>687</v>
      </c>
      <c r="D778" s="7" t="s">
        <v>2086</v>
      </c>
      <c r="E778" s="8" t="str">
        <f>T("影響中國歷史的100名人（偉人卷）")</f>
        <v>影響中國歷史的100名人（偉人卷）</v>
      </c>
      <c r="F778" s="7" t="s">
        <v>3231</v>
      </c>
      <c r="G778" s="7" t="str">
        <f>T("北京燕山")</f>
        <v>北京燕山</v>
      </c>
      <c r="H778" s="7" t="str">
        <f>T("20090401")</f>
        <v>20090401</v>
      </c>
      <c r="I778" s="7">
        <v>29.8</v>
      </c>
      <c r="J778" s="7">
        <v>179</v>
      </c>
      <c r="K778" s="9" t="s">
        <v>1336</v>
      </c>
    </row>
    <row r="779" spans="1:11" x14ac:dyDescent="0.25">
      <c r="A779" s="5">
        <v>771</v>
      </c>
      <c r="B779" s="5">
        <v>111</v>
      </c>
      <c r="C779" s="10" t="s">
        <v>688</v>
      </c>
      <c r="D779" s="7" t="s">
        <v>2086</v>
      </c>
      <c r="E779" s="8" t="str">
        <f>T("影響中國歷史的100大事（復興卷）")</f>
        <v>影響中國歷史的100大事（復興卷）</v>
      </c>
      <c r="F779" s="7" t="s">
        <v>3231</v>
      </c>
      <c r="G779" s="7" t="str">
        <f>T("北京燕山")</f>
        <v>北京燕山</v>
      </c>
      <c r="H779" s="7" t="str">
        <f>T("20090401")</f>
        <v>20090401</v>
      </c>
      <c r="I779" s="7">
        <v>29.8</v>
      </c>
      <c r="J779" s="7">
        <v>179</v>
      </c>
      <c r="K779" s="9" t="s">
        <v>1336</v>
      </c>
    </row>
    <row r="780" spans="1:11" x14ac:dyDescent="0.25">
      <c r="A780" s="5">
        <v>772</v>
      </c>
      <c r="B780" s="5">
        <v>112</v>
      </c>
      <c r="C780" s="10" t="s">
        <v>690</v>
      </c>
      <c r="D780" s="7" t="s">
        <v>2087</v>
      </c>
      <c r="E780" s="8" t="str">
        <f>T("歷史事件解讀")</f>
        <v>歷史事件解讀</v>
      </c>
      <c r="F780" s="7" t="s">
        <v>2906</v>
      </c>
      <c r="G780" s="7" t="str">
        <f>T("崇文書局")</f>
        <v>崇文書局</v>
      </c>
      <c r="H780" s="7" t="str">
        <f>T("20100101")</f>
        <v>20100101</v>
      </c>
      <c r="I780" s="7">
        <v>19.8</v>
      </c>
      <c r="J780" s="7">
        <v>119</v>
      </c>
      <c r="K780" s="9" t="s">
        <v>1336</v>
      </c>
    </row>
    <row r="781" spans="1:11" x14ac:dyDescent="0.25">
      <c r="A781" s="5">
        <v>773</v>
      </c>
      <c r="B781" s="5">
        <v>113</v>
      </c>
      <c r="C781" s="10" t="s">
        <v>691</v>
      </c>
      <c r="D781" s="7" t="s">
        <v>2088</v>
      </c>
      <c r="E781" s="8" t="str">
        <f>T("權力圖騰")</f>
        <v>權力圖騰</v>
      </c>
      <c r="F781" s="7" t="s">
        <v>3232</v>
      </c>
      <c r="G781" s="7" t="str">
        <f>T("湖南文藝")</f>
        <v>湖南文藝</v>
      </c>
      <c r="H781" s="7" t="str">
        <f>T("20080401")</f>
        <v>20080401</v>
      </c>
      <c r="I781" s="7">
        <v>30</v>
      </c>
      <c r="J781" s="7">
        <v>180</v>
      </c>
      <c r="K781" s="9" t="s">
        <v>1336</v>
      </c>
    </row>
    <row r="782" spans="1:11" x14ac:dyDescent="0.25">
      <c r="A782" s="5">
        <v>774</v>
      </c>
      <c r="B782" s="5">
        <v>114</v>
      </c>
      <c r="C782" s="10" t="s">
        <v>692</v>
      </c>
      <c r="D782" s="7" t="s">
        <v>2089</v>
      </c>
      <c r="E782" s="8" t="str">
        <f>T("我的大明王朝")</f>
        <v>我的大明王朝</v>
      </c>
      <c r="F782" s="7" t="s">
        <v>3233</v>
      </c>
      <c r="G782" s="7" t="str">
        <f>T("湖南文藝")</f>
        <v>湖南文藝</v>
      </c>
      <c r="H782" s="7" t="str">
        <f>T("20090101")</f>
        <v>20090101</v>
      </c>
      <c r="I782" s="7">
        <v>26.8</v>
      </c>
      <c r="J782" s="7">
        <v>161</v>
      </c>
      <c r="K782" s="9" t="s">
        <v>1336</v>
      </c>
    </row>
    <row r="783" spans="1:11" x14ac:dyDescent="0.25">
      <c r="A783" s="5">
        <v>775</v>
      </c>
      <c r="B783" s="5">
        <v>115</v>
      </c>
      <c r="C783" s="10" t="s">
        <v>703</v>
      </c>
      <c r="D783" s="7" t="s">
        <v>2090</v>
      </c>
      <c r="E783" s="8" t="str">
        <f>T("呂留良-大家精要")</f>
        <v>呂留良-大家精要</v>
      </c>
      <c r="F783" s="7" t="s">
        <v>3234</v>
      </c>
      <c r="G783" s="7" t="str">
        <f>T("雲南教育")</f>
        <v>雲南教育</v>
      </c>
      <c r="H783" s="7" t="str">
        <f>T("20090101")</f>
        <v>20090101</v>
      </c>
      <c r="I783" s="7">
        <v>16.8</v>
      </c>
      <c r="J783" s="7">
        <v>101</v>
      </c>
      <c r="K783" s="9" t="s">
        <v>1336</v>
      </c>
    </row>
    <row r="784" spans="1:11" x14ac:dyDescent="0.25">
      <c r="A784" s="5">
        <v>776</v>
      </c>
      <c r="B784" s="5">
        <v>116</v>
      </c>
      <c r="C784" s="10" t="s">
        <v>713</v>
      </c>
      <c r="D784" s="7" t="s">
        <v>2091</v>
      </c>
      <c r="E784" s="8" t="str">
        <f>T("血染刀鋒八十年-屠唐梟雄卷")</f>
        <v>血染刀鋒八十年-屠唐梟雄卷</v>
      </c>
      <c r="F784" s="7" t="s">
        <v>3235</v>
      </c>
      <c r="G784" s="7" t="str">
        <f>T("武漢")</f>
        <v>武漢</v>
      </c>
      <c r="H784" s="7" t="str">
        <f>T("20081101")</f>
        <v>20081101</v>
      </c>
      <c r="I784" s="7">
        <v>26</v>
      </c>
      <c r="J784" s="7">
        <v>156</v>
      </c>
      <c r="K784" s="9" t="s">
        <v>1336</v>
      </c>
    </row>
    <row r="785" spans="1:11" x14ac:dyDescent="0.25">
      <c r="A785" s="5">
        <v>777</v>
      </c>
      <c r="B785" s="5">
        <v>117</v>
      </c>
      <c r="C785" s="10" t="s">
        <v>820</v>
      </c>
      <c r="D785" s="7" t="s">
        <v>2092</v>
      </c>
      <c r="E785" s="8" t="str">
        <f>T("千古一帝--秦始皇嬴政(中國帝王系列)")</f>
        <v>千古一帝--秦始皇嬴政(中國帝王系列)</v>
      </c>
      <c r="F785" s="7" t="s">
        <v>3236</v>
      </c>
      <c r="G785" s="7" t="str">
        <f t="shared" ref="G785:G791" si="41">T("河北教育")</f>
        <v>河北教育</v>
      </c>
      <c r="H785" s="7" t="str">
        <f t="shared" ref="H785:H791" si="42">T("")</f>
        <v/>
      </c>
      <c r="I785" s="7">
        <v>26.1</v>
      </c>
      <c r="J785" s="7">
        <v>157</v>
      </c>
      <c r="K785" s="9" t="s">
        <v>1336</v>
      </c>
    </row>
    <row r="786" spans="1:11" x14ac:dyDescent="0.25">
      <c r="A786" s="5">
        <v>778</v>
      </c>
      <c r="B786" s="5">
        <v>118</v>
      </c>
      <c r="C786" s="10" t="s">
        <v>821</v>
      </c>
      <c r="D786" s="7" t="s">
        <v>2093</v>
      </c>
      <c r="E786" s="8" t="str">
        <f>T("大風之歌--漢高祖劉邦(中國帝王系列)")</f>
        <v>大風之歌--漢高祖劉邦(中國帝王系列)</v>
      </c>
      <c r="F786" s="7" t="s">
        <v>3237</v>
      </c>
      <c r="G786" s="7" t="str">
        <f t="shared" si="41"/>
        <v>河北教育</v>
      </c>
      <c r="H786" s="7" t="str">
        <f t="shared" si="42"/>
        <v/>
      </c>
      <c r="I786" s="7">
        <v>24</v>
      </c>
      <c r="J786" s="7">
        <v>144</v>
      </c>
      <c r="K786" s="9" t="s">
        <v>1336</v>
      </c>
    </row>
    <row r="787" spans="1:11" x14ac:dyDescent="0.25">
      <c r="A787" s="5">
        <v>779</v>
      </c>
      <c r="B787" s="5">
        <v>119</v>
      </c>
      <c r="C787" s="10" t="s">
        <v>822</v>
      </c>
      <c r="D787" s="7" t="s">
        <v>2094</v>
      </c>
      <c r="E787" s="8" t="s">
        <v>1338</v>
      </c>
      <c r="F787" s="7" t="s">
        <v>3238</v>
      </c>
      <c r="G787" s="7" t="str">
        <f t="shared" si="41"/>
        <v>河北教育</v>
      </c>
      <c r="H787" s="7" t="str">
        <f t="shared" si="42"/>
        <v/>
      </c>
      <c r="I787" s="7">
        <v>30.3</v>
      </c>
      <c r="J787" s="7">
        <v>182</v>
      </c>
      <c r="K787" s="9" t="s">
        <v>1336</v>
      </c>
    </row>
    <row r="788" spans="1:11" x14ac:dyDescent="0.25">
      <c r="A788" s="5">
        <v>780</v>
      </c>
      <c r="B788" s="5">
        <v>120</v>
      </c>
      <c r="C788" s="10" t="s">
        <v>823</v>
      </c>
      <c r="D788" s="7" t="s">
        <v>2095</v>
      </c>
      <c r="E788" s="8" t="str">
        <f>T("貞觀天子--唐太宗李世民(中國帝王系列)")</f>
        <v>貞觀天子--唐太宗李世民(中國帝王系列)</v>
      </c>
      <c r="F788" s="7" t="s">
        <v>3239</v>
      </c>
      <c r="G788" s="7" t="str">
        <f t="shared" si="41"/>
        <v>河北教育</v>
      </c>
      <c r="H788" s="7" t="str">
        <f t="shared" si="42"/>
        <v/>
      </c>
      <c r="I788" s="7">
        <v>28.4</v>
      </c>
      <c r="J788" s="7">
        <v>170</v>
      </c>
      <c r="K788" s="9" t="s">
        <v>1336</v>
      </c>
    </row>
    <row r="789" spans="1:11" x14ac:dyDescent="0.25">
      <c r="A789" s="5">
        <v>781</v>
      </c>
      <c r="B789" s="5">
        <v>121</v>
      </c>
      <c r="C789" s="10" t="s">
        <v>824</v>
      </c>
      <c r="D789" s="7" t="s">
        <v>2096</v>
      </c>
      <c r="E789" s="8" t="str">
        <f>T("風流天子--唐明皇李隆基(中國帝王系列)")</f>
        <v>風流天子--唐明皇李隆基(中國帝王系列)</v>
      </c>
      <c r="F789" s="7" t="s">
        <v>3240</v>
      </c>
      <c r="G789" s="7" t="str">
        <f t="shared" si="41"/>
        <v>河北教育</v>
      </c>
      <c r="H789" s="7" t="str">
        <f t="shared" si="42"/>
        <v/>
      </c>
      <c r="I789" s="7">
        <v>29</v>
      </c>
      <c r="J789" s="7">
        <v>174</v>
      </c>
      <c r="K789" s="9" t="s">
        <v>1336</v>
      </c>
    </row>
    <row r="790" spans="1:11" x14ac:dyDescent="0.25">
      <c r="A790" s="5">
        <v>782</v>
      </c>
      <c r="B790" s="5">
        <v>122</v>
      </c>
      <c r="C790" s="10" t="s">
        <v>825</v>
      </c>
      <c r="D790" s="7" t="s">
        <v>2097</v>
      </c>
      <c r="E790" s="8" t="str">
        <f>T("黃金貴族--元太祖成吉思汗(中國帝王系列)")</f>
        <v>黃金貴族--元太祖成吉思汗(中國帝王系列)</v>
      </c>
      <c r="F790" s="7" t="s">
        <v>3237</v>
      </c>
      <c r="G790" s="7" t="str">
        <f t="shared" si="41"/>
        <v>河北教育</v>
      </c>
      <c r="H790" s="7" t="str">
        <f t="shared" si="42"/>
        <v/>
      </c>
      <c r="I790" s="7">
        <v>29.2</v>
      </c>
      <c r="J790" s="7">
        <v>175</v>
      </c>
      <c r="K790" s="9" t="s">
        <v>1336</v>
      </c>
    </row>
    <row r="791" spans="1:11" x14ac:dyDescent="0.25">
      <c r="A791" s="5">
        <v>783</v>
      </c>
      <c r="B791" s="5">
        <v>123</v>
      </c>
      <c r="C791" s="10" t="s">
        <v>826</v>
      </c>
      <c r="D791" s="7" t="s">
        <v>2098</v>
      </c>
      <c r="E791" s="8" t="str">
        <f>T("盛世英主--清聖祖康熙(中國帝王系列)")</f>
        <v>盛世英主--清聖祖康熙(中國帝王系列)</v>
      </c>
      <c r="F791" s="7" t="s">
        <v>3241</v>
      </c>
      <c r="G791" s="7" t="str">
        <f t="shared" si="41"/>
        <v>河北教育</v>
      </c>
      <c r="H791" s="7" t="str">
        <f t="shared" si="42"/>
        <v/>
      </c>
      <c r="I791" s="7">
        <v>30.8</v>
      </c>
      <c r="J791" s="7">
        <v>185</v>
      </c>
      <c r="K791" s="9" t="s">
        <v>1336</v>
      </c>
    </row>
    <row r="792" spans="1:11" x14ac:dyDescent="0.25">
      <c r="A792" s="5">
        <v>784</v>
      </c>
      <c r="B792" s="5">
        <v>124</v>
      </c>
      <c r="C792" s="10" t="s">
        <v>832</v>
      </c>
      <c r="D792" s="7" t="s">
        <v>2099</v>
      </c>
      <c r="E792" s="8" t="str">
        <f>T("中國往事：講述明朝")</f>
        <v>中國往事：講述明朝</v>
      </c>
      <c r="F792" s="7" t="s">
        <v>3242</v>
      </c>
      <c r="G792" s="7" t="str">
        <f>T("山西教育")</f>
        <v>山西教育</v>
      </c>
      <c r="H792" s="7" t="str">
        <f>T("20100301")</f>
        <v>20100301</v>
      </c>
      <c r="I792" s="7">
        <v>16</v>
      </c>
      <c r="J792" s="7">
        <v>96</v>
      </c>
      <c r="K792" s="9" t="s">
        <v>1336</v>
      </c>
    </row>
    <row r="793" spans="1:11" x14ac:dyDescent="0.25">
      <c r="A793" s="5">
        <v>785</v>
      </c>
      <c r="B793" s="5">
        <v>125</v>
      </c>
      <c r="C793" s="10" t="s">
        <v>834</v>
      </c>
      <c r="D793" s="7" t="s">
        <v>2100</v>
      </c>
      <c r="E793" s="8" t="str">
        <f>T("中國往事：講述秦漢(上)")</f>
        <v>中國往事：講述秦漢(上)</v>
      </c>
      <c r="F793" s="7" t="s">
        <v>3242</v>
      </c>
      <c r="G793" s="7" t="str">
        <f>T("山西教育")</f>
        <v>山西教育</v>
      </c>
      <c r="H793" s="7" t="str">
        <f>T("20100301")</f>
        <v>20100301</v>
      </c>
      <c r="I793" s="7">
        <v>16</v>
      </c>
      <c r="J793" s="7">
        <v>96</v>
      </c>
      <c r="K793" s="9" t="s">
        <v>1336</v>
      </c>
    </row>
    <row r="794" spans="1:11" x14ac:dyDescent="0.25">
      <c r="A794" s="5">
        <v>786</v>
      </c>
      <c r="B794" s="5">
        <v>126</v>
      </c>
      <c r="C794" s="10" t="s">
        <v>833</v>
      </c>
      <c r="D794" s="7" t="s">
        <v>2101</v>
      </c>
      <c r="E794" s="8" t="str">
        <f>T("中國往事：講述秦漢(下)")</f>
        <v>中國往事：講述秦漢(下)</v>
      </c>
      <c r="F794" s="7" t="s">
        <v>3242</v>
      </c>
      <c r="G794" s="7" t="str">
        <f>T("山西教育")</f>
        <v>山西教育</v>
      </c>
      <c r="H794" s="7" t="str">
        <f>T("20100301")</f>
        <v>20100301</v>
      </c>
      <c r="I794" s="7">
        <v>16</v>
      </c>
      <c r="J794" s="7">
        <v>96</v>
      </c>
      <c r="K794" s="9" t="s">
        <v>1336</v>
      </c>
    </row>
    <row r="795" spans="1:11" x14ac:dyDescent="0.25">
      <c r="A795" s="5">
        <v>787</v>
      </c>
      <c r="B795" s="5">
        <v>127</v>
      </c>
      <c r="C795" s="10" t="s">
        <v>887</v>
      </c>
      <c r="D795" s="7" t="s">
        <v>2102</v>
      </c>
      <c r="E795" s="8" t="str">
        <f>T("不可忘卻的瞬間 : 口述歷史叢書")</f>
        <v>不可忘卻的瞬間 : 口述歷史叢書</v>
      </c>
      <c r="F795" s="7" t="s">
        <v>2959</v>
      </c>
      <c r="G795" s="7" t="str">
        <f>T("上海教育")</f>
        <v>上海教育</v>
      </c>
      <c r="H795" s="7" t="str">
        <f>T("20110601")</f>
        <v>20110601</v>
      </c>
      <c r="I795" s="7">
        <v>38</v>
      </c>
      <c r="J795" s="7">
        <v>228</v>
      </c>
      <c r="K795" s="9" t="s">
        <v>1336</v>
      </c>
    </row>
    <row r="796" spans="1:11" x14ac:dyDescent="0.25">
      <c r="A796" s="5">
        <v>788</v>
      </c>
      <c r="B796" s="5">
        <v>128</v>
      </c>
      <c r="C796" s="10" t="s">
        <v>888</v>
      </c>
      <c r="D796" s="7" t="s">
        <v>2103</v>
      </c>
      <c r="E796" s="8" t="str">
        <f>T("大明王朝")</f>
        <v>大明王朝</v>
      </c>
      <c r="F796" s="7" t="s">
        <v>3243</v>
      </c>
      <c r="G796" s="7" t="str">
        <f>T("長春")</f>
        <v>長春</v>
      </c>
      <c r="H796" s="7" t="str">
        <f>T("20070301")</f>
        <v>20070301</v>
      </c>
      <c r="I796" s="7">
        <v>27</v>
      </c>
      <c r="J796" s="7">
        <v>162</v>
      </c>
      <c r="K796" s="9" t="s">
        <v>1336</v>
      </c>
    </row>
    <row r="797" spans="1:11" x14ac:dyDescent="0.25">
      <c r="A797" s="5">
        <v>789</v>
      </c>
      <c r="B797" s="5">
        <v>129</v>
      </c>
      <c r="C797" s="10" t="s">
        <v>236</v>
      </c>
      <c r="D797" s="7" t="s">
        <v>2104</v>
      </c>
      <c r="E797" s="8" t="str">
        <f>T("誤讀的中國歷史")</f>
        <v>誤讀的中國歷史</v>
      </c>
      <c r="F797" s="7" t="s">
        <v>3244</v>
      </c>
      <c r="G797" s="7" t="str">
        <f>T("長春")</f>
        <v>長春</v>
      </c>
      <c r="H797" s="7" t="str">
        <f>T("20100101")</f>
        <v>20100101</v>
      </c>
      <c r="I797" s="7">
        <v>23</v>
      </c>
      <c r="J797" s="7">
        <v>138</v>
      </c>
      <c r="K797" s="9" t="s">
        <v>1336</v>
      </c>
    </row>
    <row r="798" spans="1:11" x14ac:dyDescent="0.25">
      <c r="A798" s="5">
        <v>790</v>
      </c>
      <c r="B798" s="5">
        <v>130</v>
      </c>
      <c r="C798" s="10" t="s">
        <v>237</v>
      </c>
      <c r="D798" s="7" t="s">
        <v>2105</v>
      </c>
      <c r="E798" s="8" t="str">
        <f>T("如果這是宋史(貳)：太宗 真宗卷")</f>
        <v>如果這是宋史(貳)：太宗 真宗卷</v>
      </c>
      <c r="F798" s="7" t="s">
        <v>3245</v>
      </c>
      <c r="G798" s="7" t="str">
        <f>T("上海錦繡")</f>
        <v>上海錦繡</v>
      </c>
      <c r="H798" s="7" t="str">
        <f>T("20081101")</f>
        <v>20081101</v>
      </c>
      <c r="I798" s="7">
        <v>28</v>
      </c>
      <c r="J798" s="7">
        <v>168</v>
      </c>
      <c r="K798" s="9" t="s">
        <v>1336</v>
      </c>
    </row>
    <row r="799" spans="1:11" x14ac:dyDescent="0.25">
      <c r="A799" s="5">
        <v>791</v>
      </c>
      <c r="B799" s="5">
        <v>131</v>
      </c>
      <c r="C799" s="10" t="s">
        <v>238</v>
      </c>
      <c r="D799" s="7" t="s">
        <v>2106</v>
      </c>
      <c r="E799" s="8" t="str">
        <f>T("如果這是宋史(參)：仁宗 盛世卷[上]")</f>
        <v>如果這是宋史(參)：仁宗 盛世卷[上]</v>
      </c>
      <c r="F799" s="7" t="s">
        <v>3246</v>
      </c>
      <c r="G799" s="7" t="str">
        <f>T("上海錦繡")</f>
        <v>上海錦繡</v>
      </c>
      <c r="H799" s="7" t="str">
        <f>T("20090801")</f>
        <v>20090801</v>
      </c>
      <c r="I799" s="7">
        <v>28</v>
      </c>
      <c r="J799" s="7">
        <v>168</v>
      </c>
      <c r="K799" s="9" t="s">
        <v>1336</v>
      </c>
    </row>
    <row r="800" spans="1:11" x14ac:dyDescent="0.25">
      <c r="A800" s="5">
        <v>792</v>
      </c>
      <c r="B800" s="5">
        <v>132</v>
      </c>
      <c r="C800" s="10" t="s">
        <v>240</v>
      </c>
      <c r="D800" s="7" t="s">
        <v>2107</v>
      </c>
      <c r="E800" s="8" t="str">
        <f>T("如果這是宋史(肆)：仁宗 盛世卷[下]")</f>
        <v>如果這是宋史(肆)：仁宗 盛世卷[下]</v>
      </c>
      <c r="F800" s="7" t="s">
        <v>3245</v>
      </c>
      <c r="G800" s="7" t="str">
        <f>T("上海錦繡")</f>
        <v>上海錦繡</v>
      </c>
      <c r="H800" s="7" t="str">
        <f>T("20100101")</f>
        <v>20100101</v>
      </c>
      <c r="I800" s="7">
        <v>28</v>
      </c>
      <c r="J800" s="7">
        <v>168</v>
      </c>
      <c r="K800" s="9" t="s">
        <v>1336</v>
      </c>
    </row>
    <row r="801" spans="1:11" x14ac:dyDescent="0.25">
      <c r="A801" s="5">
        <v>793</v>
      </c>
      <c r="B801" s="5">
        <v>133</v>
      </c>
      <c r="C801" s="10" t="s">
        <v>239</v>
      </c>
      <c r="D801" s="7" t="s">
        <v>2108</v>
      </c>
      <c r="E801" s="8" t="str">
        <f>T("美人何在：紅顏探古·明代")</f>
        <v>美人何在：紅顏探古·明代</v>
      </c>
      <c r="F801" s="7" t="s">
        <v>3247</v>
      </c>
      <c r="G801" s="7" t="str">
        <f>T("上海錦繡")</f>
        <v>上海錦繡</v>
      </c>
      <c r="H801" s="7" t="str">
        <f>T("20090701")</f>
        <v>20090701</v>
      </c>
      <c r="I801" s="7">
        <v>28</v>
      </c>
      <c r="J801" s="7">
        <v>168</v>
      </c>
      <c r="K801" s="9" t="s">
        <v>1336</v>
      </c>
    </row>
    <row r="802" spans="1:11" x14ac:dyDescent="0.25">
      <c r="A802" s="5">
        <v>794</v>
      </c>
      <c r="B802" s="5">
        <v>134</v>
      </c>
      <c r="C802" s="10" t="s">
        <v>504</v>
      </c>
      <c r="D802" s="7" t="s">
        <v>2109</v>
      </c>
      <c r="E802" s="8" t="str">
        <f>T("朱元璋(上下)")</f>
        <v>朱元璋(上下)</v>
      </c>
      <c r="F802" s="7" t="s">
        <v>3248</v>
      </c>
      <c r="G802" s="7" t="str">
        <f>T("上海書店")</f>
        <v>上海書店</v>
      </c>
      <c r="H802" s="7" t="str">
        <f>T("20100101")</f>
        <v>20100101</v>
      </c>
      <c r="I802" s="7">
        <v>38</v>
      </c>
      <c r="J802" s="7">
        <v>228</v>
      </c>
      <c r="K802" s="9" t="s">
        <v>1336</v>
      </c>
    </row>
    <row r="803" spans="1:11" x14ac:dyDescent="0.25">
      <c r="A803" s="5">
        <v>795</v>
      </c>
      <c r="B803" s="5">
        <v>135</v>
      </c>
      <c r="C803" s="10" t="s">
        <v>893</v>
      </c>
      <c r="D803" s="7" t="s">
        <v>2110</v>
      </c>
      <c r="E803" s="8" t="str">
        <f>T("歷史翻不過去")</f>
        <v>歷史翻不過去</v>
      </c>
      <c r="F803" s="7" t="s">
        <v>3249</v>
      </c>
      <c r="G803" s="7" t="str">
        <f>T("吉林出版")</f>
        <v>吉林出版</v>
      </c>
      <c r="H803" s="7" t="str">
        <f>T("20090801")</f>
        <v>20090801</v>
      </c>
      <c r="I803" s="7">
        <v>26.8</v>
      </c>
      <c r="J803" s="7">
        <v>161</v>
      </c>
      <c r="K803" s="9" t="s">
        <v>1336</v>
      </c>
    </row>
    <row r="804" spans="1:11" x14ac:dyDescent="0.25">
      <c r="A804" s="5">
        <v>796</v>
      </c>
      <c r="B804" s="5">
        <v>136</v>
      </c>
      <c r="C804" s="10" t="s">
        <v>894</v>
      </c>
      <c r="D804" s="7" t="s">
        <v>2111</v>
      </c>
      <c r="E804" s="8" t="str">
        <f>T("大清國相魏裔介")</f>
        <v>大清國相魏裔介</v>
      </c>
      <c r="F804" s="7" t="s">
        <v>3250</v>
      </c>
      <c r="G804" s="7" t="str">
        <f>T("吉林出版")</f>
        <v>吉林出版</v>
      </c>
      <c r="H804" s="7" t="str">
        <f>T("20100501")</f>
        <v>20100501</v>
      </c>
      <c r="I804" s="7">
        <v>29.8</v>
      </c>
      <c r="J804" s="7">
        <v>179</v>
      </c>
      <c r="K804" s="9" t="s">
        <v>1336</v>
      </c>
    </row>
    <row r="805" spans="1:11" x14ac:dyDescent="0.25">
      <c r="A805" s="5">
        <v>797</v>
      </c>
      <c r="B805" s="5">
        <v>137</v>
      </c>
      <c r="C805" s="10" t="s">
        <v>895</v>
      </c>
      <c r="D805" s="7" t="s">
        <v>2112</v>
      </c>
      <c r="E805" s="8" t="str">
        <f>T("歷史竟可這樣讀1：蠻荒時代的生存法則")</f>
        <v>歷史竟可這樣讀1：蠻荒時代的生存法則</v>
      </c>
      <c r="F805" s="7" t="s">
        <v>3251</v>
      </c>
      <c r="G805" s="7" t="str">
        <f>T("吉林出版")</f>
        <v>吉林出版</v>
      </c>
      <c r="H805" s="7" t="str">
        <f>T("20100401")</f>
        <v>20100401</v>
      </c>
      <c r="I805" s="7">
        <v>29.8</v>
      </c>
      <c r="J805" s="7">
        <v>179</v>
      </c>
      <c r="K805" s="9" t="s">
        <v>1336</v>
      </c>
    </row>
    <row r="806" spans="1:11" x14ac:dyDescent="0.25">
      <c r="A806" s="5">
        <v>798</v>
      </c>
      <c r="B806" s="5">
        <v>138</v>
      </c>
      <c r="C806" s="10" t="s">
        <v>505</v>
      </c>
      <c r="D806" s="7" t="s">
        <v>2113</v>
      </c>
      <c r="E806" s="8" t="str">
        <f>T("歷史竟可這樣讀2：變革時代的君臣博弈")</f>
        <v>歷史竟可這樣讀2：變革時代的君臣博弈</v>
      </c>
      <c r="F806" s="7" t="s">
        <v>3251</v>
      </c>
      <c r="G806" s="7" t="str">
        <f>T("吉林出版")</f>
        <v>吉林出版</v>
      </c>
      <c r="H806" s="7" t="str">
        <f>T("20100901")</f>
        <v>20100901</v>
      </c>
      <c r="I806" s="7">
        <v>29.8</v>
      </c>
      <c r="J806" s="7">
        <v>179</v>
      </c>
      <c r="K806" s="9" t="s">
        <v>1336</v>
      </c>
    </row>
    <row r="807" spans="1:11" x14ac:dyDescent="0.25">
      <c r="A807" s="5">
        <v>799</v>
      </c>
      <c r="B807" s="5">
        <v>139</v>
      </c>
      <c r="C807" s="10" t="s">
        <v>896</v>
      </c>
      <c r="D807" s="7" t="s">
        <v>2114</v>
      </c>
      <c r="E807" s="8" t="str">
        <f>T("孝恭仁皇后")</f>
        <v>孝恭仁皇后</v>
      </c>
      <c r="F807" s="7" t="s">
        <v>3252</v>
      </c>
      <c r="G807" s="7" t="str">
        <f>T("吉林出版")</f>
        <v>吉林出版</v>
      </c>
      <c r="H807" s="7" t="str">
        <f>T("20100501")</f>
        <v>20100501</v>
      </c>
      <c r="I807" s="7">
        <v>29</v>
      </c>
      <c r="J807" s="7">
        <v>174</v>
      </c>
      <c r="K807" s="9" t="s">
        <v>1336</v>
      </c>
    </row>
    <row r="808" spans="1:11" x14ac:dyDescent="0.25">
      <c r="A808" s="5">
        <v>800</v>
      </c>
      <c r="B808" s="5">
        <v>140</v>
      </c>
      <c r="C808" s="10" t="s">
        <v>532</v>
      </c>
      <c r="D808" s="7" t="s">
        <v>2115</v>
      </c>
      <c r="E808" s="8" t="str">
        <f>T("國人必知的2300個外國名人")</f>
        <v>國人必知的2300個外國名人</v>
      </c>
      <c r="F808" s="7" t="s">
        <v>3253</v>
      </c>
      <c r="G808" s="7" t="str">
        <f>T("萬卷")</f>
        <v>萬卷</v>
      </c>
      <c r="H808" s="7" t="str">
        <f>T("20091101")</f>
        <v>20091101</v>
      </c>
      <c r="I808" s="7">
        <v>29.8</v>
      </c>
      <c r="J808" s="7">
        <v>179</v>
      </c>
      <c r="K808" s="9" t="s">
        <v>1336</v>
      </c>
    </row>
    <row r="809" spans="1:11" x14ac:dyDescent="0.25">
      <c r="A809" s="5">
        <v>801</v>
      </c>
      <c r="B809" s="5">
        <v>141</v>
      </c>
      <c r="C809" s="10" t="s">
        <v>901</v>
      </c>
      <c r="D809" s="7" t="s">
        <v>2116</v>
      </c>
      <c r="E809" s="8" t="str">
        <f>T("紀念辛亥百年戴敦邦繪人物譜(1911-2011)")</f>
        <v>紀念辛亥百年戴敦邦繪人物譜(1911-2011)</v>
      </c>
      <c r="F809" s="7" t="s">
        <v>1962</v>
      </c>
      <c r="G809" s="7" t="str">
        <f>T("東方")</f>
        <v>東方</v>
      </c>
      <c r="H809" s="7" t="str">
        <f>T("20110801")</f>
        <v>20110801</v>
      </c>
      <c r="I809" s="7">
        <v>220</v>
      </c>
      <c r="J809" s="7">
        <v>1500</v>
      </c>
      <c r="K809" s="9" t="s">
        <v>1336</v>
      </c>
    </row>
    <row r="810" spans="1:11" x14ac:dyDescent="0.25">
      <c r="A810" s="5">
        <v>802</v>
      </c>
      <c r="B810" s="5">
        <v>142</v>
      </c>
      <c r="C810" s="10" t="s">
        <v>915</v>
      </c>
      <c r="D810" s="7" t="s">
        <v>2117</v>
      </c>
      <c r="E810" s="8" t="str">
        <f>T("中國歷史體系新論(山東大學文史書系)")</f>
        <v>中國歷史體系新論(山東大學文史書系)</v>
      </c>
      <c r="F810" s="7" t="s">
        <v>3254</v>
      </c>
      <c r="G810" s="7" t="str">
        <f>T("山東大學")</f>
        <v>山東大學</v>
      </c>
      <c r="H810" s="7" t="str">
        <f>T("20090401")</f>
        <v>20090401</v>
      </c>
      <c r="I810" s="7">
        <v>58</v>
      </c>
      <c r="J810" s="7">
        <v>348</v>
      </c>
      <c r="K810" s="9" t="s">
        <v>1336</v>
      </c>
    </row>
    <row r="811" spans="1:11" x14ac:dyDescent="0.25">
      <c r="A811" s="5">
        <v>803</v>
      </c>
      <c r="B811" s="5">
        <v>143</v>
      </c>
      <c r="C811" s="10" t="s">
        <v>314</v>
      </c>
      <c r="D811" s="7" t="s">
        <v>2118</v>
      </c>
      <c r="E811" s="8" t="str">
        <f>T("黎元洪大傳：從貧寒書生到首義都督")</f>
        <v>黎元洪大傳：從貧寒書生到首義都督</v>
      </c>
      <c r="F811" s="7" t="s">
        <v>3255</v>
      </c>
      <c r="G811" s="7" t="str">
        <f>T("華中科技")</f>
        <v>華中科技</v>
      </c>
      <c r="H811" s="7" t="str">
        <f>T("")</f>
        <v/>
      </c>
      <c r="I811" s="7">
        <v>38</v>
      </c>
      <c r="J811" s="7">
        <v>228</v>
      </c>
      <c r="K811" s="9" t="s">
        <v>1336</v>
      </c>
    </row>
    <row r="812" spans="1:11" x14ac:dyDescent="0.25">
      <c r="A812" s="5">
        <v>804</v>
      </c>
      <c r="B812" s="5">
        <v>144</v>
      </c>
      <c r="C812" s="10" t="s">
        <v>919</v>
      </c>
      <c r="D812" s="7" t="s">
        <v>2119</v>
      </c>
      <c r="E812" s="8" t="str">
        <f>T("煮酒論史：史記中的的哲學與智慧")</f>
        <v>煮酒論史：史記中的的哲學與智慧</v>
      </c>
      <c r="F812" s="7" t="s">
        <v>3256</v>
      </c>
      <c r="G812" s="7" t="str">
        <f>T("陝西師大")</f>
        <v>陝西師大</v>
      </c>
      <c r="H812" s="7" t="str">
        <f>T("20071001")</f>
        <v>20071001</v>
      </c>
      <c r="I812" s="7">
        <v>29.8</v>
      </c>
      <c r="J812" s="7">
        <v>179</v>
      </c>
      <c r="K812" s="9" t="s">
        <v>1336</v>
      </c>
    </row>
    <row r="813" spans="1:11" x14ac:dyDescent="0.25">
      <c r="A813" s="5">
        <v>805</v>
      </c>
      <c r="B813" s="5">
        <v>145</v>
      </c>
      <c r="C813" s="10" t="s">
        <v>936</v>
      </c>
      <c r="D813" s="7" t="s">
        <v>2120</v>
      </c>
      <c r="E813" s="8" t="str">
        <f>T("東方的野心-盛唐三次西域戰記")</f>
        <v>東方的野心-盛唐三次西域戰記</v>
      </c>
      <c r="F813" s="7" t="s">
        <v>3257</v>
      </c>
      <c r="G813" s="7" t="str">
        <f>T("重慶大學")</f>
        <v>重慶大學</v>
      </c>
      <c r="H813" s="7" t="str">
        <f>T("20100501")</f>
        <v>20100501</v>
      </c>
      <c r="I813" s="7">
        <v>26</v>
      </c>
      <c r="J813" s="7">
        <v>156</v>
      </c>
      <c r="K813" s="9" t="s">
        <v>1336</v>
      </c>
    </row>
    <row r="814" spans="1:11" x14ac:dyDescent="0.25">
      <c r="A814" s="5">
        <v>806</v>
      </c>
      <c r="B814" s="5">
        <v>146</v>
      </c>
      <c r="C814" s="10" t="s">
        <v>949</v>
      </c>
      <c r="D814" s="7" t="s">
        <v>2121</v>
      </c>
      <c r="E814" s="8" t="str">
        <f>T("戊戌前後的痛與夢  新中國未來記")</f>
        <v>戊戌前後的痛與夢  新中國未來記</v>
      </c>
      <c r="F814" s="7" t="s">
        <v>2694</v>
      </c>
      <c r="G814" s="7" t="str">
        <f>T("廣西師大")</f>
        <v>廣西師大</v>
      </c>
      <c r="H814" s="7" t="str">
        <f>T("20081001")</f>
        <v>20081001</v>
      </c>
      <c r="I814" s="7">
        <v>16</v>
      </c>
      <c r="J814" s="7">
        <v>96</v>
      </c>
      <c r="K814" s="9" t="s">
        <v>1336</v>
      </c>
    </row>
    <row r="815" spans="1:11" x14ac:dyDescent="0.25">
      <c r="A815" s="5">
        <v>807</v>
      </c>
      <c r="B815" s="5">
        <v>147</v>
      </c>
      <c r="C815" s="10" t="s">
        <v>950</v>
      </c>
      <c r="D815" s="7" t="s">
        <v>2122</v>
      </c>
      <c r="E815" s="8" t="str">
        <f>T("戊戌前後的痛與夢  新紀元")</f>
        <v>戊戌前後的痛與夢  新紀元</v>
      </c>
      <c r="F815" s="7" t="s">
        <v>3258</v>
      </c>
      <c r="G815" s="7" t="str">
        <f>T("廣西師大")</f>
        <v>廣西師大</v>
      </c>
      <c r="H815" s="7" t="str">
        <f>T("20081001")</f>
        <v>20081001</v>
      </c>
      <c r="I815" s="7">
        <v>15</v>
      </c>
      <c r="J815" s="7">
        <v>90</v>
      </c>
      <c r="K815" s="9" t="s">
        <v>1336</v>
      </c>
    </row>
    <row r="816" spans="1:11" x14ac:dyDescent="0.25">
      <c r="A816" s="5">
        <v>808</v>
      </c>
      <c r="B816" s="5">
        <v>148</v>
      </c>
      <c r="C816" s="10" t="s">
        <v>953</v>
      </c>
      <c r="D816" s="7" t="s">
        <v>2123</v>
      </c>
      <c r="E816" s="8" t="str">
        <f>T("你所不識的民國面相")</f>
        <v>你所不識的民國面相</v>
      </c>
      <c r="F816" s="7" t="s">
        <v>3259</v>
      </c>
      <c r="G816" s="7" t="str">
        <f>T("廣西師大")</f>
        <v>廣西師大</v>
      </c>
      <c r="H816" s="7" t="str">
        <f>T("20091101")</f>
        <v>20091101</v>
      </c>
      <c r="I816" s="7">
        <v>38</v>
      </c>
      <c r="J816" s="7">
        <v>228</v>
      </c>
      <c r="K816" s="9" t="s">
        <v>1336</v>
      </c>
    </row>
    <row r="817" spans="1:11" x14ac:dyDescent="0.25">
      <c r="A817" s="5">
        <v>809</v>
      </c>
      <c r="B817" s="5">
        <v>149</v>
      </c>
      <c r="C817" s="10" t="s">
        <v>960</v>
      </c>
      <c r="D817" s="7" t="s">
        <v>2124</v>
      </c>
      <c r="E817" s="8" t="str">
        <f>T("闖入歷史禁地--史實卷")</f>
        <v>闖入歷史禁地--史實卷</v>
      </c>
      <c r="F817" s="7" t="s">
        <v>3260</v>
      </c>
      <c r="G817" s="7" t="str">
        <f>T("北京工大")</f>
        <v>北京工大</v>
      </c>
      <c r="H817" s="7" t="str">
        <f>T("20091101")</f>
        <v>20091101</v>
      </c>
      <c r="I817" s="7">
        <v>28.8</v>
      </c>
      <c r="J817" s="7">
        <v>173</v>
      </c>
      <c r="K817" s="9" t="s">
        <v>1336</v>
      </c>
    </row>
    <row r="818" spans="1:11" x14ac:dyDescent="0.25">
      <c r="A818" s="5">
        <v>810</v>
      </c>
      <c r="B818" s="5">
        <v>150</v>
      </c>
      <c r="C818" s="10" t="s">
        <v>961</v>
      </c>
      <c r="D818" s="7" t="s">
        <v>2125</v>
      </c>
      <c r="E818" s="8" t="str">
        <f>T("漢武帝")</f>
        <v>漢武帝</v>
      </c>
      <c r="F818" s="7" t="s">
        <v>3261</v>
      </c>
      <c r="G818" s="7" t="str">
        <f>T("北工大")</f>
        <v>北工大</v>
      </c>
      <c r="H818" s="7" t="str">
        <f>T("20100801")</f>
        <v>20100801</v>
      </c>
      <c r="I818" s="7">
        <v>68</v>
      </c>
      <c r="J818" s="7">
        <v>408</v>
      </c>
      <c r="K818" s="9" t="s">
        <v>1336</v>
      </c>
    </row>
    <row r="819" spans="1:11" x14ac:dyDescent="0.25">
      <c r="A819" s="5">
        <v>811</v>
      </c>
      <c r="B819" s="5">
        <v>151</v>
      </c>
      <c r="C819" s="10" t="s">
        <v>990</v>
      </c>
      <c r="D819" s="7" t="s">
        <v>2126</v>
      </c>
      <c r="E819" s="8" t="str">
        <f>T("秦始皇")</f>
        <v>秦始皇</v>
      </c>
      <c r="F819" s="7" t="s">
        <v>3261</v>
      </c>
      <c r="G819" s="7" t="str">
        <f>T("北工大")</f>
        <v>北工大</v>
      </c>
      <c r="H819" s="7" t="str">
        <f>T("20100801")</f>
        <v>20100801</v>
      </c>
      <c r="I819" s="7">
        <v>60</v>
      </c>
      <c r="J819" s="7">
        <v>360</v>
      </c>
      <c r="K819" s="9" t="s">
        <v>1336</v>
      </c>
    </row>
    <row r="820" spans="1:11" x14ac:dyDescent="0.25">
      <c r="A820" s="5">
        <v>812</v>
      </c>
      <c r="B820" s="5">
        <v>152</v>
      </c>
      <c r="C820" s="10" t="s">
        <v>182</v>
      </c>
      <c r="D820" s="7" t="s">
        <v>2127</v>
      </c>
      <c r="E820" s="8" t="str">
        <f>T("漫畫史記：千古悲歌屈原賦")</f>
        <v>漫畫史記：千古悲歌屈原賦</v>
      </c>
      <c r="F820" s="7" t="s">
        <v>3262</v>
      </c>
      <c r="G820" s="7" t="str">
        <f>T("北京理工大")</f>
        <v>北京理工大</v>
      </c>
      <c r="H820" s="7" t="str">
        <f>T("20100301")</f>
        <v>20100301</v>
      </c>
      <c r="I820" s="7">
        <v>25</v>
      </c>
      <c r="J820" s="7">
        <v>150</v>
      </c>
      <c r="K820" s="9" t="s">
        <v>1336</v>
      </c>
    </row>
    <row r="821" spans="1:11" ht="28.5" x14ac:dyDescent="0.25">
      <c r="A821" s="5">
        <v>813</v>
      </c>
      <c r="B821" s="5">
        <v>153</v>
      </c>
      <c r="C821" s="10" t="s">
        <v>991</v>
      </c>
      <c r="D821" s="7" t="s">
        <v>2128</v>
      </c>
      <c r="E821" s="8" t="str">
        <f>T("破解600年第一謎案-建文帝最終出亡福建寧德?!")</f>
        <v>破解600年第一謎案-建文帝最終出亡福建寧德?!</v>
      </c>
      <c r="F821" s="7" t="s">
        <v>3263</v>
      </c>
      <c r="G821" s="7" t="str">
        <f>T("東南大學")</f>
        <v>東南大學</v>
      </c>
      <c r="H821" s="7" t="str">
        <f>T("20060701")</f>
        <v>20060701</v>
      </c>
      <c r="I821" s="7">
        <v>29</v>
      </c>
      <c r="J821" s="7">
        <v>174</v>
      </c>
      <c r="K821" s="9" t="s">
        <v>1336</v>
      </c>
    </row>
    <row r="822" spans="1:11" x14ac:dyDescent="0.25">
      <c r="A822" s="5">
        <v>814</v>
      </c>
      <c r="B822" s="5">
        <v>154</v>
      </c>
      <c r="C822" s="10" t="s">
        <v>992</v>
      </c>
      <c r="D822" s="7" t="s">
        <v>2129</v>
      </c>
      <c r="E822" s="8" t="str">
        <f>T("阿英信稿")</f>
        <v>阿英信稿</v>
      </c>
      <c r="F822" s="7" t="s">
        <v>3264</v>
      </c>
      <c r="G822" s="7" t="str">
        <f>T("廣陵書社")</f>
        <v>廣陵書社</v>
      </c>
      <c r="H822" s="7" t="str">
        <f>T("20050101")</f>
        <v>20050101</v>
      </c>
      <c r="I822" s="7">
        <v>110</v>
      </c>
      <c r="J822" s="7">
        <v>660</v>
      </c>
      <c r="K822" s="9" t="s">
        <v>1336</v>
      </c>
    </row>
    <row r="823" spans="1:11" x14ac:dyDescent="0.25">
      <c r="A823" s="5">
        <v>815</v>
      </c>
      <c r="B823" s="5">
        <v>155</v>
      </c>
      <c r="C823" s="10" t="s">
        <v>993</v>
      </c>
      <c r="D823" s="7" t="s">
        <v>2130</v>
      </c>
      <c r="E823" s="8" t="str">
        <f>T("形象學的實踐")</f>
        <v>形象學的實踐</v>
      </c>
      <c r="F823" s="7" t="s">
        <v>3265</v>
      </c>
      <c r="G823" s="7" t="str">
        <f>T("北京大學")</f>
        <v>北京大學</v>
      </c>
      <c r="H823" s="7" t="str">
        <f>T("20091101")</f>
        <v>20091101</v>
      </c>
      <c r="I823" s="7">
        <v>30</v>
      </c>
      <c r="J823" s="7">
        <v>180</v>
      </c>
      <c r="K823" s="9" t="s">
        <v>1336</v>
      </c>
    </row>
    <row r="824" spans="1:11" x14ac:dyDescent="0.25">
      <c r="A824" s="5">
        <v>816</v>
      </c>
      <c r="B824" s="5">
        <v>156</v>
      </c>
      <c r="C824" s="10" t="s">
        <v>998</v>
      </c>
      <c r="D824" s="7" t="s">
        <v>2131</v>
      </c>
      <c r="E824" s="8" t="str">
        <f>T("融合清廷文化的發展軌跡")</f>
        <v>融合清廷文化的發展軌跡</v>
      </c>
      <c r="F824" s="7" t="s">
        <v>3266</v>
      </c>
      <c r="G824" s="7" t="str">
        <f>T("紫禁城")</f>
        <v>紫禁城</v>
      </c>
      <c r="H824" s="7" t="str">
        <f>T("20091201")</f>
        <v>20091201</v>
      </c>
      <c r="I824" s="7">
        <v>78</v>
      </c>
      <c r="J824" s="7">
        <v>468</v>
      </c>
      <c r="K824" s="9" t="s">
        <v>1336</v>
      </c>
    </row>
    <row r="825" spans="1:11" x14ac:dyDescent="0.25">
      <c r="A825" s="5">
        <v>817</v>
      </c>
      <c r="B825" s="5">
        <v>157</v>
      </c>
      <c r="C825" s="10" t="s">
        <v>1023</v>
      </c>
      <c r="D825" s="7" t="s">
        <v>2132</v>
      </c>
      <c r="E825" s="8" t="str">
        <f>T("國史劄記：史論篇")</f>
        <v>國史劄記：史論篇</v>
      </c>
      <c r="F825" s="7" t="s">
        <v>3267</v>
      </c>
      <c r="G825" s="7" t="str">
        <f>T("東方中心")</f>
        <v>東方中心</v>
      </c>
      <c r="H825" s="7" t="str">
        <f>T("20090501")</f>
        <v>20090501</v>
      </c>
      <c r="I825" s="7">
        <v>38</v>
      </c>
      <c r="J825" s="7">
        <v>228</v>
      </c>
      <c r="K825" s="9" t="s">
        <v>1336</v>
      </c>
    </row>
    <row r="826" spans="1:11" x14ac:dyDescent="0.25">
      <c r="A826" s="5">
        <v>818</v>
      </c>
      <c r="B826" s="5">
        <v>158</v>
      </c>
      <c r="C826" s="10" t="s">
        <v>1025</v>
      </c>
      <c r="D826" s="7" t="s">
        <v>2133</v>
      </c>
      <c r="E826" s="8" t="str">
        <f>T("歷史可以這樣讀")</f>
        <v>歷史可以這樣讀</v>
      </c>
      <c r="F826" s="7" t="s">
        <v>3268</v>
      </c>
      <c r="G826" s="7" t="str">
        <f>T("九州")</f>
        <v>九州</v>
      </c>
      <c r="H826" s="7" t="str">
        <f>T("20080801")</f>
        <v>20080801</v>
      </c>
      <c r="I826" s="7">
        <v>29.8</v>
      </c>
      <c r="J826" s="7">
        <v>179</v>
      </c>
      <c r="K826" s="9" t="s">
        <v>1336</v>
      </c>
    </row>
    <row r="827" spans="1:11" x14ac:dyDescent="0.25">
      <c r="A827" s="5">
        <v>819</v>
      </c>
      <c r="B827" s="5">
        <v>159</v>
      </c>
      <c r="C827" s="10" t="s">
        <v>1026</v>
      </c>
      <c r="D827" s="7" t="s">
        <v>2134</v>
      </c>
      <c r="E827" s="8" t="str">
        <f>T("夭折的帝國：秦朝興亡十六談")</f>
        <v>夭折的帝國：秦朝興亡十六談</v>
      </c>
      <c r="F827" s="7" t="s">
        <v>3269</v>
      </c>
      <c r="G827" s="7" t="str">
        <f>T("九州")</f>
        <v>九州</v>
      </c>
      <c r="H827" s="7" t="str">
        <f>T("20080401")</f>
        <v>20080401</v>
      </c>
      <c r="I827" s="7">
        <v>29.8</v>
      </c>
      <c r="J827" s="7">
        <v>179</v>
      </c>
      <c r="K827" s="9" t="s">
        <v>1336</v>
      </c>
    </row>
    <row r="828" spans="1:11" x14ac:dyDescent="0.25">
      <c r="A828" s="5">
        <v>820</v>
      </c>
      <c r="B828" s="5">
        <v>160</v>
      </c>
      <c r="C828" s="10" t="s">
        <v>1027</v>
      </c>
      <c r="D828" s="7" t="s">
        <v>2135</v>
      </c>
      <c r="E828" s="8" t="str">
        <f>T("秦漢社會生活四十講")</f>
        <v>秦漢社會生活四十講</v>
      </c>
      <c r="F828" s="7" t="s">
        <v>3270</v>
      </c>
      <c r="G828" s="7" t="str">
        <f>T("九州")</f>
        <v>九州</v>
      </c>
      <c r="H828" s="7" t="str">
        <f>T("20081201")</f>
        <v>20081201</v>
      </c>
      <c r="I828" s="7">
        <v>35</v>
      </c>
      <c r="J828" s="7">
        <v>210</v>
      </c>
      <c r="K828" s="9" t="s">
        <v>1336</v>
      </c>
    </row>
    <row r="829" spans="1:11" x14ac:dyDescent="0.25">
      <c r="A829" s="5">
        <v>821</v>
      </c>
      <c r="B829" s="5">
        <v>161</v>
      </c>
      <c r="C829" s="10" t="s">
        <v>1029</v>
      </c>
      <c r="D829" s="7" t="s">
        <v>2136</v>
      </c>
      <c r="E829" s="8" t="str">
        <f>T("那時漢朝(肆)︰宮廷決斗．霍光舞權")</f>
        <v>那時漢朝(肆)︰宮廷決斗．霍光舞權</v>
      </c>
      <c r="F829" s="7" t="s">
        <v>3271</v>
      </c>
      <c r="G829" s="7" t="str">
        <f>T("長征")</f>
        <v>長征</v>
      </c>
      <c r="H829" s="7" t="str">
        <f>T("20060501")</f>
        <v>20060501</v>
      </c>
      <c r="I829" s="7">
        <v>28.8</v>
      </c>
      <c r="J829" s="7">
        <v>173</v>
      </c>
      <c r="K829" s="9" t="s">
        <v>1336</v>
      </c>
    </row>
    <row r="830" spans="1:11" x14ac:dyDescent="0.25">
      <c r="A830" s="5">
        <v>822</v>
      </c>
      <c r="B830" s="5">
        <v>162</v>
      </c>
      <c r="C830" s="10" t="s">
        <v>1033</v>
      </c>
      <c r="D830" s="7" t="s">
        <v>2137</v>
      </c>
      <c r="E830" s="8" t="str">
        <f>T("十全英主——清高宗乾隆")</f>
        <v>十全英主——清高宗乾隆</v>
      </c>
      <c r="F830" s="7" t="s">
        <v>3272</v>
      </c>
      <c r="G830" s="7" t="str">
        <f>T("西苑")</f>
        <v>西苑</v>
      </c>
      <c r="H830" s="7" t="str">
        <f>T("20100201")</f>
        <v>20100201</v>
      </c>
      <c r="I830" s="7">
        <v>29.8</v>
      </c>
      <c r="J830" s="7">
        <v>179</v>
      </c>
      <c r="K830" s="9" t="s">
        <v>1336</v>
      </c>
    </row>
    <row r="831" spans="1:11" x14ac:dyDescent="0.25">
      <c r="A831" s="5">
        <v>823</v>
      </c>
      <c r="B831" s="5">
        <v>163</v>
      </c>
      <c r="C831" s="10" t="s">
        <v>1034</v>
      </c>
      <c r="D831" s="7" t="s">
        <v>2138</v>
      </c>
      <c r="E831" s="8" t="str">
        <f>T("一代天驕——元太祖成吉思汗")</f>
        <v>一代天驕——元太祖成吉思汗</v>
      </c>
      <c r="F831" s="7" t="s">
        <v>3273</v>
      </c>
      <c r="G831" s="7" t="str">
        <f>T("西苑")</f>
        <v>西苑</v>
      </c>
      <c r="H831" s="7" t="str">
        <f>T("20100101")</f>
        <v>20100101</v>
      </c>
      <c r="I831" s="7">
        <v>29.8</v>
      </c>
      <c r="J831" s="7">
        <v>179</v>
      </c>
      <c r="K831" s="9" t="s">
        <v>1336</v>
      </c>
    </row>
    <row r="832" spans="1:11" x14ac:dyDescent="0.25">
      <c r="A832" s="5">
        <v>824</v>
      </c>
      <c r="B832" s="5">
        <v>164</v>
      </c>
      <c r="C832" s="10" t="s">
        <v>1035</v>
      </c>
      <c r="D832" s="7" t="s">
        <v>2139</v>
      </c>
      <c r="E832" s="8" t="str">
        <f>T("嘯鳴豪傑-漢高祖劉邦")</f>
        <v>嘯鳴豪傑-漢高祖劉邦</v>
      </c>
      <c r="F832" s="7" t="s">
        <v>3274</v>
      </c>
      <c r="G832" s="7" t="str">
        <f>T("西苑")</f>
        <v>西苑</v>
      </c>
      <c r="H832" s="7" t="str">
        <f>T("20100101")</f>
        <v>20100101</v>
      </c>
      <c r="I832" s="7">
        <v>29.8</v>
      </c>
      <c r="J832" s="7">
        <v>179</v>
      </c>
      <c r="K832" s="9" t="s">
        <v>1336</v>
      </c>
    </row>
    <row r="833" spans="1:11" x14ac:dyDescent="0.25">
      <c r="A833" s="5">
        <v>825</v>
      </c>
      <c r="B833" s="5">
        <v>165</v>
      </c>
      <c r="C833" s="10" t="s">
        <v>1036</v>
      </c>
      <c r="D833" s="7" t="s">
        <v>2140</v>
      </c>
      <c r="E833" s="8" t="str">
        <f>T("冠于百王：漢武帝劉徹")</f>
        <v>冠于百王：漢武帝劉徹</v>
      </c>
      <c r="F833" s="7" t="s">
        <v>3275</v>
      </c>
      <c r="G833" s="7" t="str">
        <f>T("西苑")</f>
        <v>西苑</v>
      </c>
      <c r="H833" s="7" t="str">
        <f>T("20100201")</f>
        <v>20100201</v>
      </c>
      <c r="I833" s="7">
        <v>29.8</v>
      </c>
      <c r="J833" s="7">
        <v>179</v>
      </c>
      <c r="K833" s="9" t="s">
        <v>1336</v>
      </c>
    </row>
    <row r="834" spans="1:11" x14ac:dyDescent="0.25">
      <c r="A834" s="5">
        <v>826</v>
      </c>
      <c r="B834" s="5">
        <v>166</v>
      </c>
      <c r="C834" s="10" t="s">
        <v>321</v>
      </c>
      <c r="D834" s="7" t="s">
        <v>2141</v>
      </c>
      <c r="E834" s="8" t="str">
        <f>T("秦漢帝王文治武功全紀錄")</f>
        <v>秦漢帝王文治武功全紀錄</v>
      </c>
      <c r="F834" s="7" t="s">
        <v>3276</v>
      </c>
      <c r="G834" s="7" t="str">
        <f>T("海潮")</f>
        <v>海潮</v>
      </c>
      <c r="H834" s="7" t="str">
        <f>T("")</f>
        <v/>
      </c>
      <c r="I834" s="7">
        <v>49</v>
      </c>
      <c r="J834" s="7">
        <v>294</v>
      </c>
      <c r="K834" s="9" t="s">
        <v>1336</v>
      </c>
    </row>
    <row r="835" spans="1:11" x14ac:dyDescent="0.25">
      <c r="A835" s="5">
        <v>827</v>
      </c>
      <c r="B835" s="5">
        <v>167</v>
      </c>
      <c r="C835" s="10" t="s">
        <v>1040</v>
      </c>
      <c r="D835" s="7" t="s">
        <v>2142</v>
      </c>
      <c r="E835" s="8" t="str">
        <f>T("超越帝王名臣和名將 帝王篇")</f>
        <v>超越帝王名臣和名將 帝王篇</v>
      </c>
      <c r="F835" s="7" t="s">
        <v>2715</v>
      </c>
      <c r="G835" s="7" t="str">
        <f>T("團結")</f>
        <v>團結</v>
      </c>
      <c r="H835" s="7" t="str">
        <f>T("20080401")</f>
        <v>20080401</v>
      </c>
      <c r="I835" s="7">
        <v>35.6</v>
      </c>
      <c r="J835" s="7">
        <v>214</v>
      </c>
      <c r="K835" s="9" t="s">
        <v>1336</v>
      </c>
    </row>
    <row r="836" spans="1:11" ht="28.5" x14ac:dyDescent="0.25">
      <c r="A836" s="5">
        <v>828</v>
      </c>
      <c r="B836" s="5">
        <v>168</v>
      </c>
      <c r="C836" s="10" t="s">
        <v>64</v>
      </c>
      <c r="D836" s="7" t="s">
        <v>2143</v>
      </c>
      <c r="E836" s="8" t="str">
        <f>T("和名家一起感受漢朝氣象：15位名家攜你品讀漢史菁華")</f>
        <v>和名家一起感受漢朝氣象：15位名家攜你品讀漢史菁華</v>
      </c>
      <c r="F836" s="7" t="s">
        <v>3277</v>
      </c>
      <c r="G836" s="7" t="str">
        <f>T("時代經濟")</f>
        <v>時代經濟</v>
      </c>
      <c r="H836" s="7" t="str">
        <f>T("20080101")</f>
        <v>20080101</v>
      </c>
      <c r="I836" s="7">
        <v>20</v>
      </c>
      <c r="J836" s="7">
        <v>120</v>
      </c>
      <c r="K836" s="9" t="s">
        <v>1336</v>
      </c>
    </row>
    <row r="837" spans="1:11" ht="28.5" x14ac:dyDescent="0.25">
      <c r="A837" s="5">
        <v>829</v>
      </c>
      <c r="B837" s="5">
        <v>169</v>
      </c>
      <c r="C837" s="10" t="s">
        <v>1065</v>
      </c>
      <c r="D837" s="7" t="s">
        <v>2144</v>
      </c>
      <c r="E837" s="8" t="str">
        <f>T("天朝印記:決定中國古代王朝命運的那些事兒")</f>
        <v>天朝印記:決定中國古代王朝命運的那些事兒</v>
      </c>
      <c r="F837" s="7" t="s">
        <v>3278</v>
      </c>
      <c r="G837" s="7" t="str">
        <f>T("中國華僑")</f>
        <v>中國華僑</v>
      </c>
      <c r="H837" s="7" t="str">
        <f>T("20080101")</f>
        <v>20080101</v>
      </c>
      <c r="I837" s="7">
        <v>28</v>
      </c>
      <c r="J837" s="7">
        <v>168</v>
      </c>
      <c r="K837" s="9" t="s">
        <v>1336</v>
      </c>
    </row>
    <row r="838" spans="1:11" x14ac:dyDescent="0.25">
      <c r="A838" s="5">
        <v>830</v>
      </c>
      <c r="B838" s="5">
        <v>170</v>
      </c>
      <c r="C838" s="10" t="s">
        <v>1066</v>
      </c>
      <c r="D838" s="7" t="s">
        <v>2145</v>
      </c>
      <c r="E838" s="8" t="str">
        <f>T("朱元璋-從放牛娃到富有天下的創業啟示錄")</f>
        <v>朱元璋-從放牛娃到富有天下的創業啟示錄</v>
      </c>
      <c r="F838" s="7" t="s">
        <v>3279</v>
      </c>
      <c r="G838" s="7" t="str">
        <f>T("中國三峽")</f>
        <v>中國三峽</v>
      </c>
      <c r="H838" s="7" t="str">
        <f>T("20070201")</f>
        <v>20070201</v>
      </c>
      <c r="I838" s="7">
        <v>35</v>
      </c>
      <c r="J838" s="7">
        <v>210</v>
      </c>
      <c r="K838" s="9" t="s">
        <v>1336</v>
      </c>
    </row>
    <row r="839" spans="1:11" x14ac:dyDescent="0.25">
      <c r="A839" s="5">
        <v>831</v>
      </c>
      <c r="B839" s="5">
        <v>171</v>
      </c>
      <c r="C839" s="10" t="s">
        <v>1067</v>
      </c>
      <c r="D839" s="7" t="s">
        <v>2146</v>
      </c>
      <c r="E839" s="8" t="str">
        <f>T("讀史記之秦始皇")</f>
        <v>讀史記之秦始皇</v>
      </c>
      <c r="F839" s="7" t="s">
        <v>3280</v>
      </c>
      <c r="G839" s="7" t="str">
        <f>T("中國三峽")</f>
        <v>中國三峽</v>
      </c>
      <c r="H839" s="7" t="str">
        <f>T("20070901")</f>
        <v>20070901</v>
      </c>
      <c r="I839" s="7">
        <v>26.8</v>
      </c>
      <c r="J839" s="7">
        <v>161</v>
      </c>
      <c r="K839" s="9" t="s">
        <v>1336</v>
      </c>
    </row>
    <row r="840" spans="1:11" x14ac:dyDescent="0.25">
      <c r="A840" s="5">
        <v>832</v>
      </c>
      <c r="B840" s="5">
        <v>172</v>
      </c>
      <c r="C840" s="10" t="s">
        <v>66</v>
      </c>
      <c r="D840" s="7" t="s">
        <v>2147</v>
      </c>
      <c r="E840" s="8" t="str">
        <f>T("母愛耀皇宮-27位皇太后的母性光輝")</f>
        <v>母愛耀皇宮-27位皇太后的母性光輝</v>
      </c>
      <c r="F840" s="7" t="s">
        <v>3281</v>
      </c>
      <c r="G840" s="7" t="str">
        <f>T("金城")</f>
        <v>金城</v>
      </c>
      <c r="H840" s="7" t="str">
        <f>T("20100101")</f>
        <v>20100101</v>
      </c>
      <c r="I840" s="7">
        <v>32</v>
      </c>
      <c r="J840" s="7">
        <v>192</v>
      </c>
      <c r="K840" s="9" t="s">
        <v>1336</v>
      </c>
    </row>
    <row r="841" spans="1:11" x14ac:dyDescent="0.25">
      <c r="A841" s="5">
        <v>833</v>
      </c>
      <c r="B841" s="5">
        <v>173</v>
      </c>
      <c r="C841" s="10" t="s">
        <v>1095</v>
      </c>
      <c r="D841" s="7" t="s">
        <v>2148</v>
      </c>
      <c r="E841" s="8" t="str">
        <f>T("苦難輝煌-(上下冊)")</f>
        <v>苦難輝煌-(上下冊)</v>
      </c>
      <c r="F841" s="7" t="s">
        <v>3282</v>
      </c>
      <c r="G841" s="7" t="str">
        <f>T("華藝")</f>
        <v>華藝</v>
      </c>
      <c r="H841" s="7" t="str">
        <f>T("20100601")</f>
        <v>20100601</v>
      </c>
      <c r="I841" s="7">
        <v>88</v>
      </c>
      <c r="J841" s="7">
        <v>528</v>
      </c>
      <c r="K841" s="9" t="s">
        <v>1336</v>
      </c>
    </row>
    <row r="842" spans="1:11" x14ac:dyDescent="0.25">
      <c r="A842" s="5">
        <v>834</v>
      </c>
      <c r="B842" s="5">
        <v>174</v>
      </c>
      <c r="C842" s="10" t="s">
        <v>1103</v>
      </c>
      <c r="D842" s="7" t="s">
        <v>2149</v>
      </c>
      <c r="E842" s="8" t="str">
        <f>T("中國歷代經典寶庫--文選快讀")</f>
        <v>中國歷代經典寶庫--文選快讀</v>
      </c>
      <c r="F842" s="7" t="s">
        <v>3283</v>
      </c>
      <c r="G842" s="7" t="str">
        <f>T("")</f>
        <v/>
      </c>
      <c r="H842" s="7" t="str">
        <f>T("")</f>
        <v/>
      </c>
      <c r="I842" s="7"/>
      <c r="J842" s="7">
        <v>125</v>
      </c>
      <c r="K842" s="9" t="s">
        <v>1336</v>
      </c>
    </row>
    <row r="843" spans="1:11" x14ac:dyDescent="0.25">
      <c r="A843" s="5">
        <v>835</v>
      </c>
      <c r="B843" s="5">
        <v>175</v>
      </c>
      <c r="C843" s="10" t="s">
        <v>1104</v>
      </c>
      <c r="D843" s="7" t="s">
        <v>2150</v>
      </c>
      <c r="E843" s="8" t="str">
        <f>T("袁氏藝文志")</f>
        <v>袁氏藝文志</v>
      </c>
      <c r="F843" s="7" t="s">
        <v>1962</v>
      </c>
      <c r="G843" s="7" t="str">
        <f>T("中國書店")</f>
        <v>中國書店</v>
      </c>
      <c r="H843" s="7" t="str">
        <f>T("")</f>
        <v/>
      </c>
      <c r="I843" s="7">
        <v>230</v>
      </c>
      <c r="J843" s="7">
        <v>1380</v>
      </c>
      <c r="K843" s="9" t="s">
        <v>1336</v>
      </c>
    </row>
    <row r="844" spans="1:11" x14ac:dyDescent="0.25">
      <c r="A844" s="5">
        <v>836</v>
      </c>
      <c r="B844" s="5">
        <v>176</v>
      </c>
      <c r="C844" s="10" t="s">
        <v>1194</v>
      </c>
      <c r="D844" s="7" t="s">
        <v>2151</v>
      </c>
      <c r="E844" s="8" t="str">
        <f>T("漢景帝評傳")</f>
        <v>漢景帝評傳</v>
      </c>
      <c r="F844" s="7" t="s">
        <v>3284</v>
      </c>
      <c r="G844" s="7" t="str">
        <f>T("三秦")</f>
        <v>三秦</v>
      </c>
      <c r="H844" s="7" t="str">
        <f>T("20060501")</f>
        <v>20060501</v>
      </c>
      <c r="I844" s="7">
        <v>25</v>
      </c>
      <c r="J844" s="7">
        <v>150</v>
      </c>
      <c r="K844" s="9" t="s">
        <v>1336</v>
      </c>
    </row>
    <row r="845" spans="1:11" x14ac:dyDescent="0.25">
      <c r="A845" s="5">
        <v>837</v>
      </c>
      <c r="B845" s="5">
        <v>177</v>
      </c>
      <c r="C845" s="10" t="s">
        <v>1195</v>
      </c>
      <c r="D845" s="7" t="s">
        <v>2152</v>
      </c>
      <c r="E845" s="8" t="str">
        <f>T("天寶十四載——盛世終結與李楊情變")</f>
        <v>天寶十四載——盛世終結與李楊情變</v>
      </c>
      <c r="F845" s="7" t="s">
        <v>3285</v>
      </c>
      <c r="G845" s="7" t="str">
        <f>T("濟南")</f>
        <v>濟南</v>
      </c>
      <c r="H845" s="7" t="str">
        <f>T("20070501")</f>
        <v>20070501</v>
      </c>
      <c r="I845" s="7">
        <v>26</v>
      </c>
      <c r="J845" s="7">
        <v>156</v>
      </c>
      <c r="K845" s="9" t="s">
        <v>1336</v>
      </c>
    </row>
    <row r="846" spans="1:11" x14ac:dyDescent="0.25">
      <c r="A846" s="5">
        <v>838</v>
      </c>
      <c r="B846" s="5">
        <v>178</v>
      </c>
      <c r="C846" s="10" t="s">
        <v>1196</v>
      </c>
      <c r="D846" s="7" t="s">
        <v>2153</v>
      </c>
      <c r="E846" s="8" t="str">
        <f>T("盛世情懷:天漢雄風與盛唐氣象")</f>
        <v>盛世情懷:天漢雄風與盛唐氣象</v>
      </c>
      <c r="F846" s="7" t="s">
        <v>3286</v>
      </c>
      <c r="G846" s="7" t="str">
        <f>T("濟南")</f>
        <v>濟南</v>
      </c>
      <c r="H846" s="7" t="str">
        <f>T("20070501")</f>
        <v>20070501</v>
      </c>
      <c r="I846" s="7">
        <v>23</v>
      </c>
      <c r="J846" s="7">
        <v>138</v>
      </c>
      <c r="K846" s="9" t="s">
        <v>1336</v>
      </c>
    </row>
    <row r="847" spans="1:11" x14ac:dyDescent="0.25">
      <c r="A847" s="5">
        <v>839</v>
      </c>
      <c r="B847" s="5">
        <v>179</v>
      </c>
      <c r="C847" s="10" t="s">
        <v>1211</v>
      </c>
      <c r="D847" s="7" t="s">
        <v>2154</v>
      </c>
      <c r="E847" s="8" t="str">
        <f>T("朱德巴蜀傳奇")</f>
        <v>朱德巴蜀傳奇</v>
      </c>
      <c r="F847" s="7" t="s">
        <v>3287</v>
      </c>
      <c r="G847" s="7" t="str">
        <f>T("巴蜀書社")</f>
        <v>巴蜀書社</v>
      </c>
      <c r="H847" s="7" t="str">
        <f>T("20061001")</f>
        <v>20061001</v>
      </c>
      <c r="I847" s="7">
        <v>25</v>
      </c>
      <c r="J847" s="7">
        <v>150</v>
      </c>
      <c r="K847" s="9" t="s">
        <v>1336</v>
      </c>
    </row>
    <row r="848" spans="1:11" x14ac:dyDescent="0.25">
      <c r="A848" s="5">
        <v>840</v>
      </c>
      <c r="B848" s="5">
        <v>180</v>
      </c>
      <c r="C848" s="10" t="s">
        <v>52</v>
      </c>
      <c r="D848" s="7" t="s">
        <v>2155</v>
      </c>
      <c r="E848" s="8" t="str">
        <f>T("康熙的大牆")</f>
        <v>康熙的大牆</v>
      </c>
      <c r="F848" s="7" t="s">
        <v>3288</v>
      </c>
      <c r="G848" s="7" t="str">
        <f>T("中國書店")</f>
        <v>中國書店</v>
      </c>
      <c r="H848" s="7" t="str">
        <f>T("20090101")</f>
        <v>20090101</v>
      </c>
      <c r="I848" s="7">
        <v>32</v>
      </c>
      <c r="J848" s="7">
        <v>192</v>
      </c>
      <c r="K848" s="9" t="s">
        <v>1336</v>
      </c>
    </row>
    <row r="849" spans="1:11" x14ac:dyDescent="0.25">
      <c r="A849" s="5">
        <v>841</v>
      </c>
      <c r="B849" s="5">
        <v>181</v>
      </c>
      <c r="C849" s="10" t="s">
        <v>53</v>
      </c>
      <c r="D849" s="7" t="s">
        <v>2156</v>
      </c>
      <c r="E849" s="8" t="str">
        <f>T("那時漢朝，禍起蕭牆 王莽斬漢")</f>
        <v>那時漢朝，禍起蕭牆 王莽斬漢</v>
      </c>
      <c r="F849" s="7" t="s">
        <v>3289</v>
      </c>
      <c r="G849" s="7" t="str">
        <f>T("中國書店")</f>
        <v>中國書店</v>
      </c>
      <c r="H849" s="7" t="str">
        <f>T("20100901")</f>
        <v>20100901</v>
      </c>
      <c r="I849" s="7">
        <v>28.8</v>
      </c>
      <c r="J849" s="7">
        <v>173</v>
      </c>
      <c r="K849" s="9" t="s">
        <v>1336</v>
      </c>
    </row>
    <row r="850" spans="1:11" x14ac:dyDescent="0.25">
      <c r="A850" s="5">
        <v>842</v>
      </c>
      <c r="B850" s="5">
        <v>182</v>
      </c>
      <c r="C850" s="10" t="s">
        <v>1221</v>
      </c>
      <c r="D850" s="7" t="s">
        <v>2157</v>
      </c>
      <c r="E850" s="8" t="str">
        <f>T("不亦樂人乎:世紀老人方成")</f>
        <v>不亦樂人乎:世紀老人方成</v>
      </c>
      <c r="F850" s="7" t="s">
        <v>3290</v>
      </c>
      <c r="G850" s="7" t="str">
        <f>T("嶽麓書社")</f>
        <v>嶽麓書社</v>
      </c>
      <c r="H850" s="7" t="str">
        <f>T("20060501")</f>
        <v>20060501</v>
      </c>
      <c r="I850" s="7">
        <v>15</v>
      </c>
      <c r="J850" s="7">
        <v>90</v>
      </c>
      <c r="K850" s="9" t="s">
        <v>1336</v>
      </c>
    </row>
    <row r="851" spans="1:11" x14ac:dyDescent="0.25">
      <c r="A851" s="5">
        <v>843</v>
      </c>
      <c r="B851" s="5">
        <v>183</v>
      </c>
      <c r="C851" s="10" t="s">
        <v>1222</v>
      </c>
      <c r="D851" s="7" t="s">
        <v>2158</v>
      </c>
      <c r="E851" s="8" t="str">
        <f>T("斯人獨徘徊：世紀老人廖冰兄")</f>
        <v>斯人獨徘徊：世紀老人廖冰兄</v>
      </c>
      <c r="F851" s="7" t="s">
        <v>3291</v>
      </c>
      <c r="G851" s="7" t="str">
        <f>T("嶽麓書社")</f>
        <v>嶽麓書社</v>
      </c>
      <c r="H851" s="7" t="str">
        <f>T("20060501")</f>
        <v>20060501</v>
      </c>
      <c r="I851" s="7">
        <v>15</v>
      </c>
      <c r="J851" s="7">
        <v>90</v>
      </c>
      <c r="K851" s="9" t="s">
        <v>1336</v>
      </c>
    </row>
    <row r="852" spans="1:11" x14ac:dyDescent="0.25">
      <c r="A852" s="5">
        <v>844</v>
      </c>
      <c r="B852" s="5">
        <v>184</v>
      </c>
      <c r="C852" s="10" t="s">
        <v>1226</v>
      </c>
      <c r="D852" s="7" t="s">
        <v>2159</v>
      </c>
      <c r="E852" s="8" t="str">
        <f>T("先秦頂級文臣(Xiron)")</f>
        <v>先秦頂級文臣(Xiron)</v>
      </c>
      <c r="F852" s="7" t="s">
        <v>3154</v>
      </c>
      <c r="G852" s="7" t="str">
        <f>T("花山文藝")</f>
        <v>花山文藝</v>
      </c>
      <c r="H852" s="7" t="str">
        <f>T("20070101")</f>
        <v>20070101</v>
      </c>
      <c r="I852" s="7">
        <v>23</v>
      </c>
      <c r="J852" s="7">
        <v>138</v>
      </c>
      <c r="K852" s="9" t="s">
        <v>1336</v>
      </c>
    </row>
    <row r="853" spans="1:11" x14ac:dyDescent="0.25">
      <c r="A853" s="5">
        <v>845</v>
      </c>
      <c r="B853" s="5">
        <v>185</v>
      </c>
      <c r="C853" s="10" t="s">
        <v>1227</v>
      </c>
      <c r="D853" s="7" t="s">
        <v>2160</v>
      </c>
      <c r="E853" s="8" t="str">
        <f>T("隋唐頂級文臣(Xiron)")</f>
        <v>隋唐頂級文臣(Xiron)</v>
      </c>
      <c r="F853" s="7" t="s">
        <v>3292</v>
      </c>
      <c r="G853" s="7" t="str">
        <f>T("花山文藝")</f>
        <v>花山文藝</v>
      </c>
      <c r="H853" s="7" t="str">
        <f>T("20070101")</f>
        <v>20070101</v>
      </c>
      <c r="I853" s="7">
        <v>24.8</v>
      </c>
      <c r="J853" s="7">
        <v>149</v>
      </c>
      <c r="K853" s="9" t="s">
        <v>1336</v>
      </c>
    </row>
    <row r="854" spans="1:11" x14ac:dyDescent="0.25">
      <c r="A854" s="5">
        <v>846</v>
      </c>
      <c r="B854" s="5">
        <v>186</v>
      </c>
      <c r="C854" s="10" t="s">
        <v>1266</v>
      </c>
      <c r="D854" s="7" t="s">
        <v>2161</v>
      </c>
      <c r="E854" s="8" t="str">
        <f>T("詩心滄桑:歷史與人物的另類解讀與追述")</f>
        <v>詩心滄桑:歷史與人物的另類解讀與追述</v>
      </c>
      <c r="F854" s="7" t="s">
        <v>3293</v>
      </c>
      <c r="G854" s="7" t="str">
        <f>T("濟南")</f>
        <v>濟南</v>
      </c>
      <c r="H854" s="7" t="str">
        <f>T("20080401")</f>
        <v>20080401</v>
      </c>
      <c r="I854" s="7">
        <v>25</v>
      </c>
      <c r="J854" s="7">
        <v>150</v>
      </c>
      <c r="K854" s="9" t="s">
        <v>1336</v>
      </c>
    </row>
    <row r="855" spans="1:11" x14ac:dyDescent="0.25">
      <c r="A855" s="5">
        <v>847</v>
      </c>
      <c r="B855" s="5">
        <v>187</v>
      </c>
      <c r="C855" s="10" t="s">
        <v>359</v>
      </c>
      <c r="D855" s="7" t="s">
        <v>2162</v>
      </c>
      <c r="E855" s="8" t="str">
        <f>T("大話元王朝-上下")</f>
        <v>大話元王朝-上下</v>
      </c>
      <c r="F855" s="7" t="s">
        <v>3217</v>
      </c>
      <c r="G855" s="7" t="str">
        <f>T("遠方")</f>
        <v>遠方</v>
      </c>
      <c r="H855" s="7" t="str">
        <f>T("20100701")</f>
        <v>20100701</v>
      </c>
      <c r="I855" s="7">
        <v>58</v>
      </c>
      <c r="J855" s="7">
        <v>348</v>
      </c>
      <c r="K855" s="9" t="s">
        <v>1336</v>
      </c>
    </row>
    <row r="856" spans="1:11" x14ac:dyDescent="0.25">
      <c r="A856" s="5">
        <v>848</v>
      </c>
      <c r="B856" s="5">
        <v>188</v>
      </c>
      <c r="C856" s="10" t="s">
        <v>1270</v>
      </c>
      <c r="D856" s="7" t="s">
        <v>2163</v>
      </c>
      <c r="E856" s="8" t="str">
        <f>T("五千年帝王歷史演義：上古篇（手繪版）")</f>
        <v>五千年帝王歷史演義：上古篇（手繪版）</v>
      </c>
      <c r="F856" s="7" t="s">
        <v>3294</v>
      </c>
      <c r="G856" s="7" t="str">
        <f>T("京華")</f>
        <v>京華</v>
      </c>
      <c r="H856" s="7" t="str">
        <f>T("20070101")</f>
        <v>20070101</v>
      </c>
      <c r="I856" s="7">
        <v>29.8</v>
      </c>
      <c r="J856" s="7">
        <v>179</v>
      </c>
      <c r="K856" s="9" t="s">
        <v>1336</v>
      </c>
    </row>
    <row r="857" spans="1:11" x14ac:dyDescent="0.25">
      <c r="A857" s="5">
        <v>849</v>
      </c>
      <c r="B857" s="5">
        <v>189</v>
      </c>
      <c r="C857" s="10" t="s">
        <v>1271</v>
      </c>
      <c r="D857" s="7" t="s">
        <v>2163</v>
      </c>
      <c r="E857" s="8" t="str">
        <f>T("五千年帝王歷史演義：元史篇（手繪版）")</f>
        <v>五千年帝王歷史演義：元史篇（手繪版）</v>
      </c>
      <c r="F857" s="7" t="s">
        <v>3294</v>
      </c>
      <c r="G857" s="7" t="str">
        <f>T("京華")</f>
        <v>京華</v>
      </c>
      <c r="H857" s="7" t="str">
        <f>T("20070101")</f>
        <v>20070101</v>
      </c>
      <c r="I857" s="7">
        <v>29.8</v>
      </c>
      <c r="J857" s="7">
        <v>179</v>
      </c>
      <c r="K857" s="9" t="s">
        <v>1336</v>
      </c>
    </row>
    <row r="858" spans="1:11" x14ac:dyDescent="0.25">
      <c r="A858" s="5">
        <v>850</v>
      </c>
      <c r="B858" s="5">
        <v>190</v>
      </c>
      <c r="C858" s="10" t="s">
        <v>1278</v>
      </c>
      <c r="D858" s="7" t="s">
        <v>2164</v>
      </c>
      <c r="E858" s="8" t="str">
        <f>T("元刻史記彭寅翁本研究")</f>
        <v>元刻史記彭寅翁本研究</v>
      </c>
      <c r="F858" s="7" t="s">
        <v>3295</v>
      </c>
      <c r="G858" s="7" t="str">
        <f>T("鳳凰")</f>
        <v>鳳凰</v>
      </c>
      <c r="H858" s="7" t="str">
        <f>T("20050101")</f>
        <v>20050101</v>
      </c>
      <c r="I858" s="7">
        <v>24</v>
      </c>
      <c r="J858" s="7">
        <v>144</v>
      </c>
      <c r="K858" s="9" t="s">
        <v>1336</v>
      </c>
    </row>
    <row r="859" spans="1:11" x14ac:dyDescent="0.25">
      <c r="A859" s="5">
        <v>851</v>
      </c>
      <c r="B859" s="5">
        <v>191</v>
      </c>
      <c r="C859" s="10" t="s">
        <v>365</v>
      </c>
      <c r="D859" s="7" t="s">
        <v>2165</v>
      </c>
      <c r="E859" s="8" t="str">
        <f>T("半壁史書－歷史上那些姐兒們1")</f>
        <v>半壁史書－歷史上那些姐兒們1</v>
      </c>
      <c r="F859" s="7" t="s">
        <v>3296</v>
      </c>
      <c r="G859" s="7" t="str">
        <f>T("鳳凰")</f>
        <v>鳳凰</v>
      </c>
      <c r="H859" s="7" t="str">
        <f>T("20100801")</f>
        <v>20100801</v>
      </c>
      <c r="I859" s="7">
        <v>26.8</v>
      </c>
      <c r="J859" s="7">
        <v>161</v>
      </c>
      <c r="K859" s="9" t="s">
        <v>1336</v>
      </c>
    </row>
    <row r="860" spans="1:11" x14ac:dyDescent="0.25">
      <c r="A860" s="5">
        <v>852</v>
      </c>
      <c r="B860" s="5">
        <v>192</v>
      </c>
      <c r="C860" s="10" t="s">
        <v>364</v>
      </c>
      <c r="D860" s="7" t="s">
        <v>2166</v>
      </c>
      <c r="E860" s="8" t="str">
        <f>T("半壁史書－歷史上那些姐兒們2")</f>
        <v>半壁史書－歷史上那些姐兒們2</v>
      </c>
      <c r="F860" s="7" t="s">
        <v>3296</v>
      </c>
      <c r="G860" s="7" t="str">
        <f>T("鳳凰")</f>
        <v>鳳凰</v>
      </c>
      <c r="H860" s="7" t="str">
        <f>T("20100801")</f>
        <v>20100801</v>
      </c>
      <c r="I860" s="7">
        <v>26.8</v>
      </c>
      <c r="J860" s="7">
        <v>161</v>
      </c>
      <c r="K860" s="9" t="s">
        <v>1336</v>
      </c>
    </row>
    <row r="861" spans="1:11" x14ac:dyDescent="0.25">
      <c r="A861" s="5">
        <v>853</v>
      </c>
      <c r="B861" s="5">
        <v>193</v>
      </c>
      <c r="C861" s="10" t="s">
        <v>366</v>
      </c>
      <c r="D861" s="7" t="s">
        <v>2167</v>
      </c>
      <c r="E861" s="8" t="str">
        <f>T("周邦彥別傳: 周邦彥生平事蹟新證")</f>
        <v>周邦彥別傳: 周邦彥生平事蹟新證</v>
      </c>
      <c r="F861" s="7" t="s">
        <v>3297</v>
      </c>
      <c r="G861" s="7" t="str">
        <f>T("三秦")</f>
        <v>三秦</v>
      </c>
      <c r="H861" s="7" t="str">
        <f>T("20081201")</f>
        <v>20081201</v>
      </c>
      <c r="I861" s="7">
        <v>50</v>
      </c>
      <c r="J861" s="7">
        <v>300</v>
      </c>
      <c r="K861" s="9" t="s">
        <v>1336</v>
      </c>
    </row>
    <row r="862" spans="1:11" x14ac:dyDescent="0.25">
      <c r="A862" s="5">
        <v>854</v>
      </c>
      <c r="B862" s="5">
        <v>194</v>
      </c>
      <c r="C862" s="10" t="s">
        <v>1292</v>
      </c>
      <c r="D862" s="7" t="s">
        <v>2168</v>
      </c>
      <c r="E862" s="8" t="str">
        <f>T("唐史論叢（第十輯）")</f>
        <v>唐史論叢（第十輯）</v>
      </c>
      <c r="F862" s="7" t="s">
        <v>3298</v>
      </c>
      <c r="G862" s="7" t="str">
        <f>T("三秦")</f>
        <v>三秦</v>
      </c>
      <c r="H862" s="7" t="str">
        <f>T("20080201")</f>
        <v>20080201</v>
      </c>
      <c r="I862" s="7">
        <v>50</v>
      </c>
      <c r="J862" s="7">
        <v>300</v>
      </c>
      <c r="K862" s="9" t="s">
        <v>1336</v>
      </c>
    </row>
    <row r="863" spans="1:11" x14ac:dyDescent="0.25">
      <c r="A863" s="5">
        <v>855</v>
      </c>
      <c r="B863" s="5">
        <v>195</v>
      </c>
      <c r="C863" s="10" t="s">
        <v>1301</v>
      </c>
      <c r="D863" s="7" t="s">
        <v>2169</v>
      </c>
      <c r="E863" s="8" t="str">
        <f>T("大帝手中的風雲")</f>
        <v>大帝手中的風雲</v>
      </c>
      <c r="F863" s="7" t="s">
        <v>3299</v>
      </c>
      <c r="G863" s="7" t="str">
        <f>T("百花洲文藝")</f>
        <v>百花洲文藝</v>
      </c>
      <c r="H863" s="7" t="str">
        <f>T("20070801")</f>
        <v>20070801</v>
      </c>
      <c r="I863" s="7">
        <v>29.8</v>
      </c>
      <c r="J863" s="7">
        <v>179</v>
      </c>
      <c r="K863" s="9" t="s">
        <v>1336</v>
      </c>
    </row>
    <row r="864" spans="1:11" x14ac:dyDescent="0.25">
      <c r="A864" s="5">
        <v>856</v>
      </c>
      <c r="B864" s="5">
        <v>196</v>
      </c>
      <c r="C864" s="10" t="s">
        <v>1125</v>
      </c>
      <c r="D864" s="7" t="s">
        <v>2170</v>
      </c>
      <c r="E864" s="8" t="str">
        <f>T("楚漢爭雄")</f>
        <v>楚漢爭雄</v>
      </c>
      <c r="F864" s="7" t="s">
        <v>3300</v>
      </c>
      <c r="G864" s="7" t="str">
        <f>T("百花洲文藝")</f>
        <v>百花洲文藝</v>
      </c>
      <c r="H864" s="7" t="str">
        <f>T("20100901")</f>
        <v>20100901</v>
      </c>
      <c r="I864" s="7">
        <v>36</v>
      </c>
      <c r="J864" s="7">
        <v>216</v>
      </c>
      <c r="K864" s="9" t="s">
        <v>1336</v>
      </c>
    </row>
    <row r="865" spans="1:11" x14ac:dyDescent="0.25">
      <c r="A865" s="5">
        <v>857</v>
      </c>
      <c r="B865" s="5">
        <v>197</v>
      </c>
      <c r="C865" s="10" t="s">
        <v>1134</v>
      </c>
      <c r="D865" s="7" t="s">
        <v>2171</v>
      </c>
      <c r="E865" s="8" t="str">
        <f>T("二十四史故事（全三卷）")</f>
        <v>二十四史故事（全三卷）</v>
      </c>
      <c r="F865" s="7" t="s">
        <v>3301</v>
      </c>
      <c r="G865" s="7" t="str">
        <f>T("江西美術")</f>
        <v>江西美術</v>
      </c>
      <c r="H865" s="7" t="str">
        <f>T("20080401")</f>
        <v>20080401</v>
      </c>
      <c r="I865" s="7">
        <v>88</v>
      </c>
      <c r="J865" s="7">
        <v>528</v>
      </c>
      <c r="K865" s="9" t="s">
        <v>1336</v>
      </c>
    </row>
    <row r="866" spans="1:11" x14ac:dyDescent="0.25">
      <c r="A866" s="5">
        <v>858</v>
      </c>
      <c r="B866" s="5">
        <v>198</v>
      </c>
      <c r="C866" s="10" t="s">
        <v>1135</v>
      </c>
      <c r="D866" s="7" t="s">
        <v>2172</v>
      </c>
      <c r="E866" s="8" t="str">
        <f>T("資治通鑒故事（全三卷）")</f>
        <v>資治通鑒故事（全三卷）</v>
      </c>
      <c r="F866" s="7" t="s">
        <v>3301</v>
      </c>
      <c r="G866" s="7" t="str">
        <f>T("江西美術")</f>
        <v>江西美術</v>
      </c>
      <c r="H866" s="7" t="str">
        <f>T("20080401")</f>
        <v>20080401</v>
      </c>
      <c r="I866" s="7">
        <v>88</v>
      </c>
      <c r="J866" s="7">
        <v>528</v>
      </c>
      <c r="K866" s="9" t="s">
        <v>1336</v>
      </c>
    </row>
    <row r="867" spans="1:11" x14ac:dyDescent="0.25">
      <c r="A867" s="5">
        <v>859</v>
      </c>
      <c r="B867" s="5">
        <v>199</v>
      </c>
      <c r="C867" s="10" t="s">
        <v>1136</v>
      </c>
      <c r="D867" s="7" t="s">
        <v>2173</v>
      </c>
      <c r="E867" s="8" t="str">
        <f>T("史記故事（全三卷）")</f>
        <v>史記故事（全三卷）</v>
      </c>
      <c r="F867" s="7" t="s">
        <v>3301</v>
      </c>
      <c r="G867" s="7" t="str">
        <f>T("江西美術")</f>
        <v>江西美術</v>
      </c>
      <c r="H867" s="7" t="str">
        <f>T("20080401")</f>
        <v>20080401</v>
      </c>
      <c r="I867" s="7">
        <v>88</v>
      </c>
      <c r="J867" s="7">
        <v>528</v>
      </c>
      <c r="K867" s="9" t="s">
        <v>1336</v>
      </c>
    </row>
    <row r="868" spans="1:11" x14ac:dyDescent="0.25">
      <c r="A868" s="5">
        <v>860</v>
      </c>
      <c r="B868" s="5">
        <v>200</v>
      </c>
      <c r="C868" s="10" t="s">
        <v>1140</v>
      </c>
      <c r="D868" s="7" t="s">
        <v>2174</v>
      </c>
      <c r="E868" s="8" t="str">
        <f>T("重讀秦始皇")</f>
        <v>重讀秦始皇</v>
      </c>
      <c r="F868" s="7" t="s">
        <v>3302</v>
      </c>
      <c r="G868" s="7" t="str">
        <f>T("巴蜀書社")</f>
        <v>巴蜀書社</v>
      </c>
      <c r="H868" s="7" t="str">
        <f>T("20100101")</f>
        <v>20100101</v>
      </c>
      <c r="I868" s="7">
        <v>28</v>
      </c>
      <c r="J868" s="7">
        <v>168</v>
      </c>
      <c r="K868" s="9" t="s">
        <v>1336</v>
      </c>
    </row>
    <row r="869" spans="1:11" x14ac:dyDescent="0.25">
      <c r="A869" s="5">
        <v>861</v>
      </c>
      <c r="B869" s="5">
        <v>201</v>
      </c>
      <c r="C869" s="10" t="s">
        <v>1143</v>
      </c>
      <c r="D869" s="7" t="s">
        <v>2175</v>
      </c>
      <c r="E869" s="8" t="str">
        <f>T("郭沫若研究三十年")</f>
        <v>郭沫若研究三十年</v>
      </c>
      <c r="F869" s="7" t="s">
        <v>3303</v>
      </c>
      <c r="G869" s="7" t="str">
        <f>T("巴蜀書社")</f>
        <v>巴蜀書社</v>
      </c>
      <c r="H869" s="7" t="str">
        <f>T("20100201")</f>
        <v>20100201</v>
      </c>
      <c r="I869" s="7">
        <v>28</v>
      </c>
      <c r="J869" s="7">
        <v>168</v>
      </c>
      <c r="K869" s="9" t="s">
        <v>1336</v>
      </c>
    </row>
    <row r="870" spans="1:11" x14ac:dyDescent="0.25">
      <c r="A870" s="5">
        <v>862</v>
      </c>
      <c r="B870" s="5">
        <v>202</v>
      </c>
      <c r="C870" s="10" t="s">
        <v>1148</v>
      </c>
      <c r="D870" s="7" t="s">
        <v>2176</v>
      </c>
      <c r="E870" s="8" t="str">
        <f>T("權力家族")</f>
        <v>權力家族</v>
      </c>
      <c r="F870" s="7" t="s">
        <v>3304</v>
      </c>
      <c r="G870" s="7" t="str">
        <f>T("哈爾濱")</f>
        <v>哈爾濱</v>
      </c>
      <c r="H870" s="7" t="str">
        <f>T("20090101")</f>
        <v>20090101</v>
      </c>
      <c r="I870" s="7">
        <v>28.8</v>
      </c>
      <c r="J870" s="7">
        <v>173</v>
      </c>
      <c r="K870" s="9" t="s">
        <v>1336</v>
      </c>
    </row>
    <row r="871" spans="1:11" x14ac:dyDescent="0.25">
      <c r="A871" s="5">
        <v>863</v>
      </c>
      <c r="B871" s="5">
        <v>203</v>
      </c>
      <c r="C871" s="10" t="s">
        <v>1154</v>
      </c>
      <c r="D871" s="7" t="s">
        <v>2177</v>
      </c>
      <c r="E871" s="8" t="str">
        <f>T("歷史是個什麼玩意兒2")</f>
        <v>歷史是個什麼玩意兒2</v>
      </c>
      <c r="F871" s="7" t="s">
        <v>3305</v>
      </c>
      <c r="G871" s="7" t="str">
        <f>T("花山文藝")</f>
        <v>花山文藝</v>
      </c>
      <c r="H871" s="7" t="str">
        <f>T("20091101")</f>
        <v>20091101</v>
      </c>
      <c r="I871" s="7">
        <v>32.799999999999997</v>
      </c>
      <c r="J871" s="7">
        <v>197</v>
      </c>
      <c r="K871" s="9" t="s">
        <v>1336</v>
      </c>
    </row>
    <row r="872" spans="1:11" x14ac:dyDescent="0.25">
      <c r="A872" s="5">
        <v>864</v>
      </c>
      <c r="B872" s="5">
        <v>204</v>
      </c>
      <c r="C872" s="10" t="s">
        <v>1173</v>
      </c>
      <c r="D872" s="7" t="s">
        <v>2178</v>
      </c>
      <c r="E872" s="8" t="str">
        <f>T("說不盡的歷史話題")</f>
        <v>說不盡的歷史話題</v>
      </c>
      <c r="F872" s="7" t="s">
        <v>3306</v>
      </c>
      <c r="G872" s="7" t="str">
        <f>T("河南大學")</f>
        <v>河南大學</v>
      </c>
      <c r="H872" s="7" t="str">
        <f>T("20080101")</f>
        <v>20080101</v>
      </c>
      <c r="I872" s="7">
        <v>49</v>
      </c>
      <c r="J872" s="7">
        <v>294</v>
      </c>
      <c r="K872" s="9" t="s">
        <v>1336</v>
      </c>
    </row>
    <row r="873" spans="1:11" x14ac:dyDescent="0.25">
      <c r="A873" s="5">
        <v>865</v>
      </c>
      <c r="B873" s="5">
        <v>205</v>
      </c>
      <c r="C873" s="10" t="s">
        <v>1178</v>
      </c>
      <c r="D873" s="7" t="s">
        <v>2179</v>
      </c>
      <c r="E873" s="8" t="str">
        <f>T("康熙會盟")</f>
        <v>康熙會盟</v>
      </c>
      <c r="F873" s="7" t="s">
        <v>3307</v>
      </c>
      <c r="G873" s="7" t="str">
        <f>T("內蒙大學")</f>
        <v>內蒙大學</v>
      </c>
      <c r="H873" s="7" t="str">
        <f>T("20070701")</f>
        <v>20070701</v>
      </c>
      <c r="I873" s="7">
        <v>35</v>
      </c>
      <c r="J873" s="7">
        <v>210</v>
      </c>
      <c r="K873" s="9" t="s">
        <v>1336</v>
      </c>
    </row>
    <row r="874" spans="1:11" x14ac:dyDescent="0.25">
      <c r="A874" s="5">
        <v>866</v>
      </c>
      <c r="B874" s="5">
        <v>206</v>
      </c>
      <c r="C874" s="10" t="s">
        <v>1181</v>
      </c>
      <c r="D874" s="7" t="s">
        <v>2180</v>
      </c>
      <c r="E874" s="8" t="str">
        <f>T("皇城的晚鐘")</f>
        <v>皇城的晚鐘</v>
      </c>
      <c r="F874" s="7" t="s">
        <v>3308</v>
      </c>
      <c r="G874" s="7" t="str">
        <f>T("首都師大")</f>
        <v>首都師大</v>
      </c>
      <c r="H874" s="7" t="str">
        <f>T("20080501")</f>
        <v>20080501</v>
      </c>
      <c r="I874" s="7">
        <v>49</v>
      </c>
      <c r="J874" s="7">
        <v>294</v>
      </c>
      <c r="K874" s="9" t="s">
        <v>1336</v>
      </c>
    </row>
    <row r="875" spans="1:11" x14ac:dyDescent="0.25">
      <c r="A875" s="19" t="s">
        <v>1339</v>
      </c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5">
        <v>867</v>
      </c>
      <c r="B876" s="5">
        <v>1</v>
      </c>
      <c r="C876" s="10" t="s">
        <v>487</v>
      </c>
      <c r="D876" s="7" t="s">
        <v>2181</v>
      </c>
      <c r="E876" s="8" t="str">
        <f>T("中國民族民間舞傳統.典型組合淵源與分析")</f>
        <v>中國民族民間舞傳統.典型組合淵源與分析</v>
      </c>
      <c r="F876" s="7" t="s">
        <v>3309</v>
      </c>
      <c r="G876" s="7" t="str">
        <f>T("藍色暢想")</f>
        <v>藍色暢想</v>
      </c>
      <c r="H876" s="7" t="str">
        <f>T("20100201")</f>
        <v>20100201</v>
      </c>
      <c r="I876" s="7">
        <v>25</v>
      </c>
      <c r="J876" s="7">
        <v>150</v>
      </c>
      <c r="K876" s="9" t="s">
        <v>113</v>
      </c>
    </row>
    <row r="877" spans="1:11" x14ac:dyDescent="0.25">
      <c r="A877" s="5">
        <v>868</v>
      </c>
      <c r="B877" s="5">
        <v>2</v>
      </c>
      <c r="C877" s="10" t="s">
        <v>608</v>
      </c>
      <c r="D877" s="7" t="s">
        <v>2182</v>
      </c>
      <c r="E877" s="8" t="str">
        <f>T("中華傳統文化探幽")</f>
        <v>中華傳統文化探幽</v>
      </c>
      <c r="F877" s="7" t="s">
        <v>3310</v>
      </c>
      <c r="G877" s="7" t="str">
        <f>T("商務印書")</f>
        <v>商務印書</v>
      </c>
      <c r="H877" s="7" t="str">
        <f>T("20080601")</f>
        <v>20080601</v>
      </c>
      <c r="I877" s="7">
        <v>21</v>
      </c>
      <c r="J877" s="7">
        <v>126</v>
      </c>
      <c r="K877" s="9" t="s">
        <v>113</v>
      </c>
    </row>
    <row r="878" spans="1:11" x14ac:dyDescent="0.25">
      <c r="A878" s="5">
        <v>869</v>
      </c>
      <c r="B878" s="5">
        <v>3</v>
      </c>
      <c r="C878" s="10" t="s">
        <v>609</v>
      </c>
      <c r="D878" s="7" t="s">
        <v>2183</v>
      </c>
      <c r="E878" s="8" t="str">
        <f>T("中國風土人情")</f>
        <v>中國風土人情</v>
      </c>
      <c r="F878" s="7" t="s">
        <v>3311</v>
      </c>
      <c r="G878" s="7" t="str">
        <f>T("商務印書")</f>
        <v>商務印書</v>
      </c>
      <c r="H878" s="7" t="str">
        <f>T("20080601")</f>
        <v>20080601</v>
      </c>
      <c r="I878" s="7">
        <v>49</v>
      </c>
      <c r="J878" s="7">
        <v>294</v>
      </c>
      <c r="K878" s="9" t="s">
        <v>113</v>
      </c>
    </row>
    <row r="879" spans="1:11" x14ac:dyDescent="0.25">
      <c r="A879" s="5">
        <v>870</v>
      </c>
      <c r="B879" s="5">
        <v>4</v>
      </c>
      <c r="C879" s="10" t="s">
        <v>748</v>
      </c>
      <c r="D879" s="7" t="s">
        <v>2184</v>
      </c>
      <c r="E879" s="8" t="str">
        <f>T("問吧7")</f>
        <v>問吧7</v>
      </c>
      <c r="F879" s="7" t="s">
        <v>3312</v>
      </c>
      <c r="G879" s="7" t="str">
        <f>T("中華書局")</f>
        <v>中華書局</v>
      </c>
      <c r="H879" s="7" t="str">
        <f>T("20081101")</f>
        <v>20081101</v>
      </c>
      <c r="I879" s="7">
        <v>27</v>
      </c>
      <c r="J879" s="7">
        <v>162</v>
      </c>
      <c r="K879" s="9" t="s">
        <v>1340</v>
      </c>
    </row>
    <row r="880" spans="1:11" x14ac:dyDescent="0.25">
      <c r="A880" s="5">
        <v>871</v>
      </c>
      <c r="B880" s="5">
        <v>5</v>
      </c>
      <c r="C880" s="10" t="s">
        <v>750</v>
      </c>
      <c r="D880" s="7" t="s">
        <v>2185</v>
      </c>
      <c r="E880" s="8" t="str">
        <f>T("問吧9")</f>
        <v>問吧9</v>
      </c>
      <c r="F880" s="7" t="s">
        <v>3313</v>
      </c>
      <c r="G880" s="7" t="str">
        <f>T("中華書局")</f>
        <v>中華書局</v>
      </c>
      <c r="H880" s="7" t="str">
        <f>T("20080801")</f>
        <v>20080801</v>
      </c>
      <c r="I880" s="7">
        <v>28</v>
      </c>
      <c r="J880" s="7">
        <v>168</v>
      </c>
      <c r="K880" s="9" t="s">
        <v>1340</v>
      </c>
    </row>
    <row r="881" spans="1:11" x14ac:dyDescent="0.25">
      <c r="A881" s="5">
        <v>872</v>
      </c>
      <c r="B881" s="5">
        <v>6</v>
      </c>
      <c r="C881" s="10" t="s">
        <v>871</v>
      </c>
      <c r="D881" s="7" t="s">
        <v>2186</v>
      </c>
      <c r="E881" s="8" t="str">
        <f>T("青海審美文化")</f>
        <v>青海審美文化</v>
      </c>
      <c r="F881" s="7" t="s">
        <v>3314</v>
      </c>
      <c r="G881" s="7" t="str">
        <f>T("民族")</f>
        <v>民族</v>
      </c>
      <c r="H881" s="7" t="str">
        <f>T("20091201")</f>
        <v>20091201</v>
      </c>
      <c r="I881" s="7">
        <v>38</v>
      </c>
      <c r="J881" s="7">
        <v>228</v>
      </c>
      <c r="K881" s="9" t="s">
        <v>113</v>
      </c>
    </row>
    <row r="882" spans="1:11" x14ac:dyDescent="0.25">
      <c r="A882" s="5">
        <v>873</v>
      </c>
      <c r="B882" s="5">
        <v>7</v>
      </c>
      <c r="C882" s="10" t="s">
        <v>387</v>
      </c>
      <c r="D882" s="7" t="s">
        <v>2187</v>
      </c>
      <c r="E882" s="8" t="str">
        <f>T("中國人文社會科學三十年")</f>
        <v>中國人文社會科學三十年</v>
      </c>
      <c r="F882" s="7" t="s">
        <v>3315</v>
      </c>
      <c r="G882" s="7" t="str">
        <f>T("北京三聯")</f>
        <v>北京三聯</v>
      </c>
      <c r="H882" s="7" t="str">
        <f>T("20090801")</f>
        <v>20090801</v>
      </c>
      <c r="I882" s="7">
        <v>49</v>
      </c>
      <c r="J882" s="7">
        <v>294</v>
      </c>
      <c r="K882" s="9" t="s">
        <v>113</v>
      </c>
    </row>
    <row r="883" spans="1:11" x14ac:dyDescent="0.25">
      <c r="A883" s="5">
        <v>874</v>
      </c>
      <c r="B883" s="5">
        <v>8</v>
      </c>
      <c r="C883" s="10" t="s">
        <v>281</v>
      </c>
      <c r="D883" s="7" t="s">
        <v>2188</v>
      </c>
      <c r="E883" s="8" t="str">
        <f>T("講古神話傳奇.詮釋古人之夢")</f>
        <v>講古神話傳奇.詮釋古人之夢</v>
      </c>
      <c r="F883" s="7" t="s">
        <v>3316</v>
      </c>
      <c r="G883" s="7" t="str">
        <f>T("科學")</f>
        <v>科學</v>
      </c>
      <c r="H883" s="7" t="str">
        <f>T("")</f>
        <v/>
      </c>
      <c r="I883" s="7">
        <v>19.8</v>
      </c>
      <c r="J883" s="7">
        <v>119</v>
      </c>
      <c r="K883" s="9" t="s">
        <v>113</v>
      </c>
    </row>
    <row r="884" spans="1:11" x14ac:dyDescent="0.25">
      <c r="A884" s="5">
        <v>875</v>
      </c>
      <c r="B884" s="5">
        <v>9</v>
      </c>
      <c r="C884" s="10" t="s">
        <v>564</v>
      </c>
      <c r="D884" s="7" t="s">
        <v>2189</v>
      </c>
      <c r="E884" s="8" t="str">
        <f>T("閨中奇跡——中國女書")</f>
        <v>閨中奇跡——中國女書</v>
      </c>
      <c r="F884" s="7" t="s">
        <v>3317</v>
      </c>
      <c r="G884" s="7" t="str">
        <f>T("黑人民")</f>
        <v>黑人民</v>
      </c>
      <c r="H884" s="7" t="str">
        <f>T("20050401")</f>
        <v>20050401</v>
      </c>
      <c r="I884" s="7">
        <v>80</v>
      </c>
      <c r="J884" s="7">
        <v>480</v>
      </c>
      <c r="K884" s="9" t="s">
        <v>113</v>
      </c>
    </row>
    <row r="885" spans="1:11" x14ac:dyDescent="0.25">
      <c r="A885" s="5">
        <v>876</v>
      </c>
      <c r="B885" s="5">
        <v>10</v>
      </c>
      <c r="C885" s="10" t="s">
        <v>565</v>
      </c>
      <c r="D885" s="7" t="s">
        <v>2190</v>
      </c>
      <c r="E885" s="8" t="str">
        <f>T("文明的聖樹——哈尼梯田")</f>
        <v>文明的聖樹——哈尼梯田</v>
      </c>
      <c r="F885" s="7" t="s">
        <v>3318</v>
      </c>
      <c r="G885" s="7" t="str">
        <f>T("黑人民")</f>
        <v>黑人民</v>
      </c>
      <c r="H885" s="7" t="str">
        <f>T("20050601")</f>
        <v>20050601</v>
      </c>
      <c r="I885" s="7">
        <v>80</v>
      </c>
      <c r="J885" s="7">
        <v>480</v>
      </c>
      <c r="K885" s="9" t="s">
        <v>113</v>
      </c>
    </row>
    <row r="886" spans="1:11" x14ac:dyDescent="0.25">
      <c r="A886" s="5">
        <v>877</v>
      </c>
      <c r="B886" s="5">
        <v>11</v>
      </c>
      <c r="C886" s="10" t="s">
        <v>585</v>
      </c>
      <c r="D886" s="7" t="s">
        <v>2191</v>
      </c>
      <c r="E886" s="8" t="str">
        <f>T("百年千年 : 香山文化溯源與解讀")</f>
        <v>百年千年 : 香山文化溯源與解讀</v>
      </c>
      <c r="F886" s="7" t="s">
        <v>3319</v>
      </c>
      <c r="G886" s="7" t="str">
        <f>T("廣東人民")</f>
        <v>廣東人民</v>
      </c>
      <c r="H886" s="7" t="str">
        <f>T("20061201")</f>
        <v>20061201</v>
      </c>
      <c r="I886" s="7">
        <v>45</v>
      </c>
      <c r="J886" s="7">
        <v>270</v>
      </c>
      <c r="K886" s="9" t="s">
        <v>113</v>
      </c>
    </row>
    <row r="887" spans="1:11" x14ac:dyDescent="0.25">
      <c r="A887" s="5">
        <v>878</v>
      </c>
      <c r="B887" s="5">
        <v>12</v>
      </c>
      <c r="C887" s="10" t="s">
        <v>587</v>
      </c>
      <c r="D887" s="7" t="s">
        <v>2192</v>
      </c>
      <c r="E887" s="8" t="str">
        <f>T("樂昌風物與古文化遺存")</f>
        <v>樂昌風物與古文化遺存</v>
      </c>
      <c r="F887" s="7" t="s">
        <v>3320</v>
      </c>
      <c r="G887" s="7" t="str">
        <f>T("廣東人民")</f>
        <v>廣東人民</v>
      </c>
      <c r="H887" s="7" t="str">
        <f>T("20080101")</f>
        <v>20080101</v>
      </c>
      <c r="I887" s="7">
        <v>12</v>
      </c>
      <c r="J887" s="7">
        <v>72</v>
      </c>
      <c r="K887" s="9" t="s">
        <v>1340</v>
      </c>
    </row>
    <row r="888" spans="1:11" x14ac:dyDescent="0.25">
      <c r="A888" s="5">
        <v>879</v>
      </c>
      <c r="B888" s="5">
        <v>13</v>
      </c>
      <c r="C888" s="10" t="s">
        <v>274</v>
      </c>
      <c r="D888" s="7" t="s">
        <v>2193</v>
      </c>
      <c r="E888" s="8" t="str">
        <f>T("燦爛中華文明：文學卷")</f>
        <v>燦爛中華文明：文學卷</v>
      </c>
      <c r="F888" s="7" t="s">
        <v>3321</v>
      </c>
      <c r="G888" s="7" t="str">
        <f t="shared" ref="G888:G893" si="43">T("貴州人民")</f>
        <v>貴州人民</v>
      </c>
      <c r="H888" s="7" t="str">
        <f>T("20060601")</f>
        <v>20060601</v>
      </c>
      <c r="I888" s="7">
        <v>40</v>
      </c>
      <c r="J888" s="7">
        <v>240</v>
      </c>
      <c r="K888" s="9" t="s">
        <v>113</v>
      </c>
    </row>
    <row r="889" spans="1:11" x14ac:dyDescent="0.25">
      <c r="A889" s="5">
        <v>880</v>
      </c>
      <c r="B889" s="5">
        <v>14</v>
      </c>
      <c r="C889" s="10" t="s">
        <v>275</v>
      </c>
      <c r="D889" s="7" t="s">
        <v>2194</v>
      </c>
      <c r="E889" s="8" t="str">
        <f>T("燦爛中華文明：藝術卷")</f>
        <v>燦爛中華文明：藝術卷</v>
      </c>
      <c r="F889" s="7" t="s">
        <v>3321</v>
      </c>
      <c r="G889" s="7" t="str">
        <f t="shared" si="43"/>
        <v>貴州人民</v>
      </c>
      <c r="H889" s="7" t="str">
        <f>T("20061201")</f>
        <v>20061201</v>
      </c>
      <c r="I889" s="7">
        <v>40</v>
      </c>
      <c r="J889" s="7">
        <v>240</v>
      </c>
      <c r="K889" s="9" t="s">
        <v>113</v>
      </c>
    </row>
    <row r="890" spans="1:11" x14ac:dyDescent="0.25">
      <c r="A890" s="5">
        <v>881</v>
      </c>
      <c r="B890" s="5">
        <v>15</v>
      </c>
      <c r="C890" s="10" t="s">
        <v>276</v>
      </c>
      <c r="D890" s="7" t="s">
        <v>2195</v>
      </c>
      <c r="E890" s="8" t="str">
        <f>T("燦爛中華文明：名鄉卷")</f>
        <v>燦爛中華文明：名鄉卷</v>
      </c>
      <c r="F890" s="7" t="s">
        <v>3321</v>
      </c>
      <c r="G890" s="7" t="str">
        <f t="shared" si="43"/>
        <v>貴州人民</v>
      </c>
      <c r="H890" s="7" t="str">
        <f>T("20060601")</f>
        <v>20060601</v>
      </c>
      <c r="I890" s="7">
        <v>27</v>
      </c>
      <c r="J890" s="7">
        <v>162</v>
      </c>
      <c r="K890" s="9" t="s">
        <v>113</v>
      </c>
    </row>
    <row r="891" spans="1:11" x14ac:dyDescent="0.25">
      <c r="A891" s="5">
        <v>882</v>
      </c>
      <c r="B891" s="5">
        <v>16</v>
      </c>
      <c r="C891" s="10" t="s">
        <v>277</v>
      </c>
      <c r="D891" s="7" t="s">
        <v>2196</v>
      </c>
      <c r="E891" s="8" t="str">
        <f>T("燦爛中華文明：民族卷")</f>
        <v>燦爛中華文明：民族卷</v>
      </c>
      <c r="F891" s="7" t="s">
        <v>3321</v>
      </c>
      <c r="G891" s="7" t="str">
        <f t="shared" si="43"/>
        <v>貴州人民</v>
      </c>
      <c r="H891" s="7" t="str">
        <f>T("20060601")</f>
        <v>20060601</v>
      </c>
      <c r="I891" s="7">
        <v>38</v>
      </c>
      <c r="J891" s="7">
        <v>228</v>
      </c>
      <c r="K891" s="9" t="s">
        <v>113</v>
      </c>
    </row>
    <row r="892" spans="1:11" x14ac:dyDescent="0.25">
      <c r="A892" s="5">
        <v>883</v>
      </c>
      <c r="B892" s="5">
        <v>17</v>
      </c>
      <c r="C892" s="10" t="s">
        <v>278</v>
      </c>
      <c r="D892" s="7" t="s">
        <v>2197</v>
      </c>
      <c r="E892" s="8" t="str">
        <f>T("燦爛中華文明：發明卷")</f>
        <v>燦爛中華文明：發明卷</v>
      </c>
      <c r="F892" s="7" t="s">
        <v>3321</v>
      </c>
      <c r="G892" s="7" t="str">
        <f t="shared" si="43"/>
        <v>貴州人民</v>
      </c>
      <c r="H892" s="7" t="str">
        <f>T("20060601")</f>
        <v>20060601</v>
      </c>
      <c r="I892" s="7">
        <v>41</v>
      </c>
      <c r="J892" s="7">
        <v>246</v>
      </c>
      <c r="K892" s="9" t="s">
        <v>113</v>
      </c>
    </row>
    <row r="893" spans="1:11" x14ac:dyDescent="0.25">
      <c r="A893" s="5">
        <v>884</v>
      </c>
      <c r="B893" s="5">
        <v>18</v>
      </c>
      <c r="C893" s="10" t="s">
        <v>279</v>
      </c>
      <c r="D893" s="7" t="s">
        <v>2198</v>
      </c>
      <c r="E893" s="8" t="str">
        <f>T("燦爛中華文明：山水卷")</f>
        <v>燦爛中華文明：山水卷</v>
      </c>
      <c r="F893" s="7" t="s">
        <v>3321</v>
      </c>
      <c r="G893" s="7" t="str">
        <f t="shared" si="43"/>
        <v>貴州人民</v>
      </c>
      <c r="H893" s="7" t="str">
        <f>T("20060601")</f>
        <v>20060601</v>
      </c>
      <c r="I893" s="7">
        <v>35</v>
      </c>
      <c r="J893" s="7">
        <v>210</v>
      </c>
      <c r="K893" s="9" t="s">
        <v>113</v>
      </c>
    </row>
    <row r="894" spans="1:11" x14ac:dyDescent="0.25">
      <c r="A894" s="5">
        <v>885</v>
      </c>
      <c r="B894" s="5">
        <v>19</v>
      </c>
      <c r="C894" s="10" t="s">
        <v>286</v>
      </c>
      <c r="D894" s="7" t="s">
        <v>2199</v>
      </c>
      <c r="E894" s="8" t="str">
        <f>T("希臘神話")</f>
        <v>希臘神話</v>
      </c>
      <c r="F894" s="7" t="s">
        <v>3322</v>
      </c>
      <c r="G894" s="7" t="str">
        <f>T("陝西人民")</f>
        <v>陝西人民</v>
      </c>
      <c r="H894" s="7" t="str">
        <f>T("20100501")</f>
        <v>20100501</v>
      </c>
      <c r="I894" s="7">
        <v>29</v>
      </c>
      <c r="J894" s="7">
        <v>174</v>
      </c>
      <c r="K894" s="9" t="s">
        <v>113</v>
      </c>
    </row>
    <row r="895" spans="1:11" x14ac:dyDescent="0.25">
      <c r="A895" s="5">
        <v>886</v>
      </c>
      <c r="B895" s="5">
        <v>20</v>
      </c>
      <c r="C895" s="10" t="s">
        <v>443</v>
      </c>
      <c r="D895" s="7" t="s">
        <v>2200</v>
      </c>
      <c r="E895" s="8" t="str">
        <f>T("剪紙民俗的文化闡釋：配圖本")</f>
        <v>剪紙民俗的文化闡釋：配圖本</v>
      </c>
      <c r="F895" s="7" t="s">
        <v>3323</v>
      </c>
      <c r="G895" s="7" t="str">
        <f>T("北京大學")</f>
        <v>北京大學</v>
      </c>
      <c r="H895" s="7" t="str">
        <f>T("20090501")</f>
        <v>20090501</v>
      </c>
      <c r="I895" s="7">
        <v>45</v>
      </c>
      <c r="J895" s="7">
        <v>270</v>
      </c>
      <c r="K895" s="9" t="s">
        <v>113</v>
      </c>
    </row>
    <row r="896" spans="1:11" x14ac:dyDescent="0.25">
      <c r="A896" s="5">
        <v>887</v>
      </c>
      <c r="B896" s="5">
        <v>21</v>
      </c>
      <c r="C896" s="10" t="s">
        <v>228</v>
      </c>
      <c r="D896" s="7" t="s">
        <v>2201</v>
      </c>
      <c r="E896" s="8" t="str">
        <f>T("中國人的生活世界-民俗學的路徑")</f>
        <v>中國人的生活世界-民俗學的路徑</v>
      </c>
      <c r="F896" s="7" t="s">
        <v>3324</v>
      </c>
      <c r="G896" s="7" t="str">
        <f>T("北京大學")</f>
        <v>北京大學</v>
      </c>
      <c r="H896" s="7" t="str">
        <f>T("20100301")</f>
        <v>20100301</v>
      </c>
      <c r="I896" s="7">
        <v>25</v>
      </c>
      <c r="J896" s="7">
        <v>150</v>
      </c>
      <c r="K896" s="9" t="s">
        <v>1340</v>
      </c>
    </row>
    <row r="897" spans="1:11" x14ac:dyDescent="0.25">
      <c r="A897" s="5">
        <v>888</v>
      </c>
      <c r="B897" s="5">
        <v>22</v>
      </c>
      <c r="C897" s="10" t="s">
        <v>294</v>
      </c>
      <c r="D897" s="7" t="s">
        <v>2202</v>
      </c>
      <c r="E897" s="8" t="str">
        <f>T("20世紀中國文學與民間文化")</f>
        <v>20世紀中國文學與民間文化</v>
      </c>
      <c r="F897" s="7" t="s">
        <v>3325</v>
      </c>
      <c r="G897" s="7" t="str">
        <f>T("復旦大學")</f>
        <v>復旦大學</v>
      </c>
      <c r="H897" s="7" t="str">
        <f>T("20070301")</f>
        <v>20070301</v>
      </c>
      <c r="I897" s="7">
        <v>20</v>
      </c>
      <c r="J897" s="7">
        <v>120</v>
      </c>
      <c r="K897" s="9" t="s">
        <v>1340</v>
      </c>
    </row>
    <row r="898" spans="1:11" x14ac:dyDescent="0.25">
      <c r="A898" s="5">
        <v>889</v>
      </c>
      <c r="B898" s="5">
        <v>23</v>
      </c>
      <c r="C898" s="10" t="s">
        <v>143</v>
      </c>
      <c r="D898" s="7" t="s">
        <v>2203</v>
      </c>
      <c r="E898" s="8" t="str">
        <f>T("體育史話")</f>
        <v>體育史話</v>
      </c>
      <c r="F898" s="7" t="s">
        <v>2959</v>
      </c>
      <c r="G898" s="7" t="str">
        <f>T("中國大百科")</f>
        <v>中國大百科</v>
      </c>
      <c r="H898" s="7" t="str">
        <f>T("")</f>
        <v/>
      </c>
      <c r="I898" s="7">
        <v>28</v>
      </c>
      <c r="J898" s="7">
        <v>168</v>
      </c>
      <c r="K898" s="9" t="s">
        <v>113</v>
      </c>
    </row>
    <row r="899" spans="1:11" x14ac:dyDescent="0.25">
      <c r="A899" s="5">
        <v>890</v>
      </c>
      <c r="B899" s="5">
        <v>24</v>
      </c>
      <c r="C899" s="10" t="s">
        <v>144</v>
      </c>
      <c r="D899" s="7" t="s">
        <v>2204</v>
      </c>
      <c r="E899" s="8" t="str">
        <f>T("雜技史話")</f>
        <v>雜技史話</v>
      </c>
      <c r="F899" s="7" t="s">
        <v>2959</v>
      </c>
      <c r="G899" s="7" t="str">
        <f>T("中國大百科")</f>
        <v>中國大百科</v>
      </c>
      <c r="H899" s="7" t="str">
        <f>T("")</f>
        <v/>
      </c>
      <c r="I899" s="7">
        <v>28</v>
      </c>
      <c r="J899" s="7">
        <v>168</v>
      </c>
      <c r="K899" s="9" t="s">
        <v>113</v>
      </c>
    </row>
    <row r="900" spans="1:11" ht="28.5" x14ac:dyDescent="0.25">
      <c r="A900" s="5">
        <v>891</v>
      </c>
      <c r="B900" s="5">
        <v>25</v>
      </c>
      <c r="C900" s="10" t="s">
        <v>730</v>
      </c>
      <c r="D900" s="7" t="s">
        <v>2205</v>
      </c>
      <c r="E900" s="8" t="str">
        <f>T("最後的蘑菇房：元陽縣新街鎮箐口村哈尼族春民日記")</f>
        <v>最後的蘑菇房：元陽縣新街鎮箐口村哈尼族春民日記</v>
      </c>
      <c r="F900" s="7" t="s">
        <v>2700</v>
      </c>
      <c r="G900" s="7" t="str">
        <f>T("中國社科")</f>
        <v>中國社科</v>
      </c>
      <c r="H900" s="7" t="str">
        <f>T("20090201")</f>
        <v>20090201</v>
      </c>
      <c r="I900" s="7">
        <v>45</v>
      </c>
      <c r="J900" s="7">
        <v>270</v>
      </c>
      <c r="K900" s="9" t="s">
        <v>113</v>
      </c>
    </row>
    <row r="901" spans="1:11" ht="28.5" x14ac:dyDescent="0.25">
      <c r="A901" s="5">
        <v>892</v>
      </c>
      <c r="B901" s="5">
        <v>26</v>
      </c>
      <c r="C901" s="10" t="s">
        <v>731</v>
      </c>
      <c r="D901" s="7" t="s">
        <v>2206</v>
      </c>
      <c r="E901" s="8" t="str">
        <f>T("追尋逝去的火神：彌樂縣西三鎮可邑村*族撒尼支系村民日記")</f>
        <v>追尋逝去的火神：彌樂縣西三鎮可邑村*族撒尼支系村民日記</v>
      </c>
      <c r="F901" s="7" t="s">
        <v>3326</v>
      </c>
      <c r="G901" s="7" t="str">
        <f>T("中國社科")</f>
        <v>中國社科</v>
      </c>
      <c r="H901" s="7" t="str">
        <f>T("20090401")</f>
        <v>20090401</v>
      </c>
      <c r="I901" s="7">
        <v>60</v>
      </c>
      <c r="J901" s="7">
        <v>360</v>
      </c>
      <c r="K901" s="9" t="s">
        <v>113</v>
      </c>
    </row>
    <row r="902" spans="1:11" ht="28.5" x14ac:dyDescent="0.25">
      <c r="A902" s="5">
        <v>893</v>
      </c>
      <c r="B902" s="5">
        <v>27</v>
      </c>
      <c r="C902" s="10" t="s">
        <v>732</v>
      </c>
      <c r="D902" s="7" t="s">
        <v>2207</v>
      </c>
      <c r="E902" s="8" t="str">
        <f>T("流動的信仰：貢山縣丙中洛鄉查臘村怒族村民日記")</f>
        <v>流動的信仰：貢山縣丙中洛鄉查臘村怒族村民日記</v>
      </c>
      <c r="F902" s="7" t="s">
        <v>3327</v>
      </c>
      <c r="G902" s="7" t="str">
        <f>T("中國社科")</f>
        <v>中國社科</v>
      </c>
      <c r="H902" s="7" t="str">
        <f>T("20090401")</f>
        <v>20090401</v>
      </c>
      <c r="I902" s="7">
        <v>45</v>
      </c>
      <c r="J902" s="7">
        <v>270</v>
      </c>
      <c r="K902" s="9" t="s">
        <v>113</v>
      </c>
    </row>
    <row r="903" spans="1:11" x14ac:dyDescent="0.25">
      <c r="A903" s="5">
        <v>894</v>
      </c>
      <c r="B903" s="5">
        <v>28</v>
      </c>
      <c r="C903" s="10" t="s">
        <v>325</v>
      </c>
      <c r="D903" s="7" t="s">
        <v>2208</v>
      </c>
      <c r="E903" s="8" t="str">
        <f>T("雷動星流")</f>
        <v>雷動星流</v>
      </c>
      <c r="F903" s="7" t="s">
        <v>3328</v>
      </c>
      <c r="G903" s="7" t="str">
        <f>T("文物")</f>
        <v>文物</v>
      </c>
      <c r="H903" s="7" t="str">
        <f>T("20050101")</f>
        <v>20050101</v>
      </c>
      <c r="I903" s="7"/>
      <c r="J903" s="7">
        <v>75</v>
      </c>
      <c r="K903" s="9" t="s">
        <v>113</v>
      </c>
    </row>
    <row r="904" spans="1:11" x14ac:dyDescent="0.25">
      <c r="A904" s="5">
        <v>895</v>
      </c>
      <c r="B904" s="5">
        <v>29</v>
      </c>
      <c r="C904" s="10" t="s">
        <v>326</v>
      </c>
      <c r="D904" s="7" t="s">
        <v>2209</v>
      </c>
      <c r="E904" s="8" t="str">
        <f>T("天涯芳草")</f>
        <v>天涯芳草</v>
      </c>
      <c r="F904" s="7" t="s">
        <v>3329</v>
      </c>
      <c r="G904" s="7" t="str">
        <f>T("文物")</f>
        <v>文物</v>
      </c>
      <c r="H904" s="7" t="str">
        <f>T("20050101")</f>
        <v>20050101</v>
      </c>
      <c r="I904" s="7"/>
      <c r="J904" s="7">
        <v>75</v>
      </c>
      <c r="K904" s="9" t="s">
        <v>113</v>
      </c>
    </row>
    <row r="905" spans="1:11" x14ac:dyDescent="0.25">
      <c r="A905" s="5">
        <v>896</v>
      </c>
      <c r="B905" s="5">
        <v>30</v>
      </c>
      <c r="C905" s="10" t="s">
        <v>197</v>
      </c>
      <c r="D905" s="7" t="s">
        <v>2210</v>
      </c>
      <c r="E905" s="8" t="str">
        <f>T("宗臣史家")</f>
        <v>宗臣史家</v>
      </c>
      <c r="F905" s="7" t="s">
        <v>3330</v>
      </c>
      <c r="G905" s="7" t="str">
        <f>T("文物")</f>
        <v>文物</v>
      </c>
      <c r="H905" s="7" t="str">
        <f>T("20050101")</f>
        <v>20050101</v>
      </c>
      <c r="I905" s="7"/>
      <c r="J905" s="7">
        <v>90</v>
      </c>
      <c r="K905" s="9" t="s">
        <v>113</v>
      </c>
    </row>
    <row r="906" spans="1:11" x14ac:dyDescent="0.25">
      <c r="A906" s="5">
        <v>897</v>
      </c>
      <c r="B906" s="5">
        <v>31</v>
      </c>
      <c r="C906" s="10" t="s">
        <v>33</v>
      </c>
      <c r="D906" s="7" t="s">
        <v>2211</v>
      </c>
      <c r="E906" s="8" t="str">
        <f>T("南田遺韻")</f>
        <v>南田遺韻</v>
      </c>
      <c r="F906" s="7" t="s">
        <v>1312</v>
      </c>
      <c r="G906" s="7" t="str">
        <f>T("文物")</f>
        <v>文物</v>
      </c>
      <c r="H906" s="7" t="str">
        <f>T("20050101")</f>
        <v>20050101</v>
      </c>
      <c r="I906" s="7"/>
      <c r="J906" s="7">
        <v>90</v>
      </c>
      <c r="K906" s="9" t="s">
        <v>113</v>
      </c>
    </row>
    <row r="907" spans="1:11" x14ac:dyDescent="0.25">
      <c r="A907" s="5">
        <v>898</v>
      </c>
      <c r="B907" s="5">
        <v>32</v>
      </c>
      <c r="C907" s="10" t="s">
        <v>470</v>
      </c>
      <c r="D907" s="7" t="s">
        <v>2212</v>
      </c>
      <c r="E907" s="8" t="str">
        <f>T("365個最可怕的風俗")</f>
        <v>365個最可怕的風俗</v>
      </c>
      <c r="F907" s="7" t="s">
        <v>3331</v>
      </c>
      <c r="G907" s="7" t="str">
        <f>T("天地")</f>
        <v>天地</v>
      </c>
      <c r="H907" s="7" t="str">
        <f>T("20100101")</f>
        <v>20100101</v>
      </c>
      <c r="I907" s="7">
        <v>32</v>
      </c>
      <c r="J907" s="7">
        <v>192</v>
      </c>
      <c r="K907" s="9" t="s">
        <v>113</v>
      </c>
    </row>
    <row r="908" spans="1:11" x14ac:dyDescent="0.25">
      <c r="A908" s="5">
        <v>899</v>
      </c>
      <c r="B908" s="5">
        <v>33</v>
      </c>
      <c r="C908" s="10" t="s">
        <v>136</v>
      </c>
      <c r="D908" s="7" t="s">
        <v>2213</v>
      </c>
      <c r="E908" s="8" t="str">
        <f>T("中華民俗風情博覽：美術工藝")</f>
        <v>中華民俗風情博覽：美術工藝</v>
      </c>
      <c r="F908" s="7" t="s">
        <v>3332</v>
      </c>
      <c r="G908" s="7" t="str">
        <f>T("中國物資")</f>
        <v>中國物資</v>
      </c>
      <c r="H908" s="7" t="str">
        <f>T("")</f>
        <v/>
      </c>
      <c r="I908" s="7">
        <v>32</v>
      </c>
      <c r="J908" s="7">
        <v>192</v>
      </c>
      <c r="K908" s="9" t="s">
        <v>113</v>
      </c>
    </row>
    <row r="909" spans="1:11" x14ac:dyDescent="0.25">
      <c r="A909" s="5">
        <v>900</v>
      </c>
      <c r="B909" s="5">
        <v>34</v>
      </c>
      <c r="C909" s="10" t="s">
        <v>44</v>
      </c>
      <c r="D909" s="7" t="s">
        <v>2214</v>
      </c>
      <c r="E909" s="8" t="str">
        <f>T("評書(中國國粹藝術讀本)")</f>
        <v>評書(中國國粹藝術讀本)</v>
      </c>
      <c r="F909" s="7" t="s">
        <v>3333</v>
      </c>
      <c r="G909" s="7" t="str">
        <f>T("中國文聯")</f>
        <v>中國文聯</v>
      </c>
      <c r="H909" s="7" t="str">
        <f>T("20080901")</f>
        <v>20080901</v>
      </c>
      <c r="I909" s="7">
        <v>19.8</v>
      </c>
      <c r="J909" s="7">
        <v>119</v>
      </c>
      <c r="K909" s="9" t="s">
        <v>1340</v>
      </c>
    </row>
    <row r="910" spans="1:11" x14ac:dyDescent="0.25">
      <c r="A910" s="5">
        <v>901</v>
      </c>
      <c r="B910" s="5">
        <v>35</v>
      </c>
      <c r="C910" s="10" t="s">
        <v>145</v>
      </c>
      <c r="D910" s="7" t="s">
        <v>2215</v>
      </c>
      <c r="E910" s="8" t="str">
        <f>T("黃梅戲(中國國粹藝術讀本)")</f>
        <v>黃梅戲(中國國粹藝術讀本)</v>
      </c>
      <c r="F910" s="7" t="s">
        <v>3014</v>
      </c>
      <c r="G910" s="7" t="str">
        <f>T("中國文聯")</f>
        <v>中國文聯</v>
      </c>
      <c r="H910" s="7" t="str">
        <f>T("20081001")</f>
        <v>20081001</v>
      </c>
      <c r="I910" s="7">
        <v>31.5</v>
      </c>
      <c r="J910" s="7">
        <v>189</v>
      </c>
      <c r="K910" s="9" t="s">
        <v>1340</v>
      </c>
    </row>
    <row r="911" spans="1:11" x14ac:dyDescent="0.25">
      <c r="A911" s="5">
        <v>902</v>
      </c>
      <c r="B911" s="5">
        <v>36</v>
      </c>
      <c r="C911" s="10" t="s">
        <v>147</v>
      </c>
      <c r="D911" s="7" t="s">
        <v>2216</v>
      </c>
      <c r="E911" s="8" t="str">
        <f>T("侗族音樂（中國國粹藝術讀本)")</f>
        <v>侗族音樂（中國國粹藝術讀本)</v>
      </c>
      <c r="F911" s="7" t="s">
        <v>3014</v>
      </c>
      <c r="G911" s="7" t="str">
        <f>T("中國文聯")</f>
        <v>中國文聯</v>
      </c>
      <c r="H911" s="7" t="str">
        <f>T("20081001")</f>
        <v>20081001</v>
      </c>
      <c r="I911" s="7">
        <v>19.8</v>
      </c>
      <c r="J911" s="7">
        <v>119</v>
      </c>
      <c r="K911" s="9" t="s">
        <v>1340</v>
      </c>
    </row>
    <row r="912" spans="1:11" x14ac:dyDescent="0.25">
      <c r="A912" s="5">
        <v>903</v>
      </c>
      <c r="B912" s="5">
        <v>37</v>
      </c>
      <c r="C912" s="10" t="s">
        <v>417</v>
      </c>
      <c r="D912" s="7" t="s">
        <v>2217</v>
      </c>
      <c r="E912" s="8" t="str">
        <f>T("20世紀西方人類學主要著作指南")</f>
        <v>20世紀西方人類學主要著作指南</v>
      </c>
      <c r="F912" s="7" t="s">
        <v>3334</v>
      </c>
      <c r="G912" s="7" t="str">
        <f>T("世界圖書")</f>
        <v>世界圖書</v>
      </c>
      <c r="H912" s="7" t="str">
        <f>T("")</f>
        <v/>
      </c>
      <c r="I912" s="7">
        <v>68</v>
      </c>
      <c r="J912" s="7">
        <v>408</v>
      </c>
      <c r="K912" s="9" t="s">
        <v>113</v>
      </c>
    </row>
    <row r="913" spans="1:11" x14ac:dyDescent="0.25">
      <c r="A913" s="5">
        <v>904</v>
      </c>
      <c r="B913" s="5">
        <v>38</v>
      </c>
      <c r="C913" s="10" t="s">
        <v>68</v>
      </c>
      <c r="D913" s="7" t="s">
        <v>2218</v>
      </c>
      <c r="E913" s="8" t="str">
        <f>T("不錯---文化糾錯叢書精華本")</f>
        <v>不錯---文化糾錯叢書精華本</v>
      </c>
      <c r="F913" s="7" t="s">
        <v>3335</v>
      </c>
      <c r="G913" s="7" t="str">
        <f>T("中國書籍")</f>
        <v>中國書籍</v>
      </c>
      <c r="H913" s="7" t="str">
        <f>T("20091001")</f>
        <v>20091001</v>
      </c>
      <c r="I913" s="7">
        <v>38</v>
      </c>
      <c r="J913" s="7">
        <v>228</v>
      </c>
      <c r="K913" s="9" t="s">
        <v>113</v>
      </c>
    </row>
    <row r="914" spans="1:11" x14ac:dyDescent="0.25">
      <c r="A914" s="5">
        <v>905</v>
      </c>
      <c r="B914" s="5">
        <v>39</v>
      </c>
      <c r="C914" s="10" t="s">
        <v>61</v>
      </c>
      <c r="D914" s="7" t="s">
        <v>2219</v>
      </c>
      <c r="E914" s="8" t="str">
        <f>T("書畫趣謎")</f>
        <v>書畫趣謎</v>
      </c>
      <c r="F914" s="7" t="s">
        <v>3336</v>
      </c>
      <c r="G914" s="7" t="str">
        <f>T("學苑")</f>
        <v>學苑</v>
      </c>
      <c r="H914" s="7" t="str">
        <f>T("")</f>
        <v/>
      </c>
      <c r="I914" s="7">
        <v>12</v>
      </c>
      <c r="J914" s="7">
        <v>72</v>
      </c>
      <c r="K914" s="9" t="s">
        <v>113</v>
      </c>
    </row>
    <row r="915" spans="1:11" ht="28.5" x14ac:dyDescent="0.25">
      <c r="A915" s="5">
        <v>906</v>
      </c>
      <c r="B915" s="5">
        <v>40</v>
      </c>
      <c r="C915" s="10" t="s">
        <v>248</v>
      </c>
      <c r="D915" s="7" t="s">
        <v>2220</v>
      </c>
      <c r="E915" s="8" t="s">
        <v>1341</v>
      </c>
      <c r="F915" s="7" t="s">
        <v>3337</v>
      </c>
      <c r="G915" s="7" t="str">
        <f>T("學苑")</f>
        <v>學苑</v>
      </c>
      <c r="H915" s="7" t="str">
        <f>T("20070801")</f>
        <v>20070801</v>
      </c>
      <c r="I915" s="7">
        <v>48</v>
      </c>
      <c r="J915" s="7">
        <v>288</v>
      </c>
      <c r="K915" s="9" t="s">
        <v>113</v>
      </c>
    </row>
    <row r="916" spans="1:11" x14ac:dyDescent="0.25">
      <c r="A916" s="5">
        <v>907</v>
      </c>
      <c r="B916" s="5">
        <v>41</v>
      </c>
      <c r="C916" s="10" t="s">
        <v>369</v>
      </c>
      <c r="D916" s="7" t="s">
        <v>2221</v>
      </c>
      <c r="E916" s="8" t="str">
        <f>T("中國最美的200個經典神話.創世神話卷")</f>
        <v>中國最美的200個經典神話.創世神話卷</v>
      </c>
      <c r="F916" s="7" t="s">
        <v>3338</v>
      </c>
      <c r="G916" s="7" t="str">
        <f>T("水利水電")</f>
        <v>水利水電</v>
      </c>
      <c r="H916" s="7" t="str">
        <f>T("20100801")</f>
        <v>20100801</v>
      </c>
      <c r="I916" s="7">
        <v>28</v>
      </c>
      <c r="J916" s="7">
        <v>168</v>
      </c>
      <c r="K916" s="9" t="s">
        <v>113</v>
      </c>
    </row>
    <row r="917" spans="1:11" x14ac:dyDescent="0.25">
      <c r="A917" s="5">
        <v>908</v>
      </c>
      <c r="B917" s="5">
        <v>42</v>
      </c>
      <c r="C917" s="10" t="s">
        <v>370</v>
      </c>
      <c r="D917" s="7" t="s">
        <v>2222</v>
      </c>
      <c r="E917" s="8" t="str">
        <f>T("中國最美的200個經典神話.文化神話卷")</f>
        <v>中國最美的200個經典神話.文化神話卷</v>
      </c>
      <c r="F917" s="7" t="s">
        <v>3338</v>
      </c>
      <c r="G917" s="7" t="str">
        <f>T("水利水電")</f>
        <v>水利水電</v>
      </c>
      <c r="H917" s="7" t="str">
        <f>T("20100801")</f>
        <v>20100801</v>
      </c>
      <c r="I917" s="7">
        <v>28</v>
      </c>
      <c r="J917" s="7">
        <v>168</v>
      </c>
      <c r="K917" s="9" t="s">
        <v>113</v>
      </c>
    </row>
    <row r="918" spans="1:11" x14ac:dyDescent="0.25">
      <c r="A918" s="5">
        <v>909</v>
      </c>
      <c r="B918" s="5">
        <v>43</v>
      </c>
      <c r="C918" s="10" t="s">
        <v>371</v>
      </c>
      <c r="D918" s="7" t="s">
        <v>2223</v>
      </c>
      <c r="E918" s="8" t="str">
        <f>T("中國最美的200個經典神話.英雄神話卷")</f>
        <v>中國最美的200個經典神話.英雄神話卷</v>
      </c>
      <c r="F918" s="7" t="s">
        <v>3338</v>
      </c>
      <c r="G918" s="7" t="str">
        <f>T("水利水電")</f>
        <v>水利水電</v>
      </c>
      <c r="H918" s="7" t="str">
        <f>T("20100801")</f>
        <v>20100801</v>
      </c>
      <c r="I918" s="7">
        <v>28</v>
      </c>
      <c r="J918" s="7">
        <v>168</v>
      </c>
      <c r="K918" s="9" t="s">
        <v>113</v>
      </c>
    </row>
    <row r="919" spans="1:11" x14ac:dyDescent="0.25">
      <c r="A919" s="5">
        <v>910</v>
      </c>
      <c r="B919" s="5">
        <v>44</v>
      </c>
      <c r="C919" s="10" t="s">
        <v>373</v>
      </c>
      <c r="D919" s="7" t="s">
        <v>2224</v>
      </c>
      <c r="E919" s="8" t="str">
        <f>T("中國節日─人文中國書系")</f>
        <v>中國節日─人文中國書系</v>
      </c>
      <c r="F919" s="7" t="s">
        <v>3339</v>
      </c>
      <c r="G919" s="7" t="str">
        <f>T("五洲傳播")</f>
        <v>五洲傳播</v>
      </c>
      <c r="H919" s="7" t="str">
        <f>T("20051001")</f>
        <v>20051001</v>
      </c>
      <c r="I919" s="7">
        <v>38</v>
      </c>
      <c r="J919" s="7">
        <v>228</v>
      </c>
      <c r="K919" s="9" t="s">
        <v>1340</v>
      </c>
    </row>
    <row r="920" spans="1:11" x14ac:dyDescent="0.25">
      <c r="A920" s="5">
        <v>911</v>
      </c>
      <c r="B920" s="5">
        <v>45</v>
      </c>
      <c r="C920" s="10" t="s">
        <v>474</v>
      </c>
      <c r="D920" s="7" t="s">
        <v>2225</v>
      </c>
      <c r="E920" s="8" t="str">
        <f>T("風箏和毽球")</f>
        <v>風箏和毽球</v>
      </c>
      <c r="F920" s="7" t="s">
        <v>3340</v>
      </c>
      <c r="G920" s="7" t="str">
        <f>T("中國社會")</f>
        <v>中國社會</v>
      </c>
      <c r="H920" s="7" t="str">
        <f>T("20060901")</f>
        <v>20060901</v>
      </c>
      <c r="I920" s="7">
        <v>13</v>
      </c>
      <c r="J920" s="7">
        <v>78</v>
      </c>
      <c r="K920" s="9" t="s">
        <v>113</v>
      </c>
    </row>
    <row r="921" spans="1:11" x14ac:dyDescent="0.25">
      <c r="A921" s="5">
        <v>912</v>
      </c>
      <c r="B921" s="5">
        <v>46</v>
      </c>
      <c r="C921" s="10" t="s">
        <v>266</v>
      </c>
      <c r="D921" s="7" t="s">
        <v>2226</v>
      </c>
      <c r="E921" s="8" t="str">
        <f>T("典當")</f>
        <v>典當</v>
      </c>
      <c r="F921" s="7" t="s">
        <v>3341</v>
      </c>
      <c r="G921" s="7" t="str">
        <f>T("中國社會")</f>
        <v>中國社會</v>
      </c>
      <c r="H921" s="7" t="str">
        <f>T("20090301")</f>
        <v>20090301</v>
      </c>
      <c r="I921" s="7">
        <v>28</v>
      </c>
      <c r="J921" s="7">
        <v>168</v>
      </c>
      <c r="K921" s="9" t="s">
        <v>113</v>
      </c>
    </row>
    <row r="922" spans="1:11" x14ac:dyDescent="0.25">
      <c r="A922" s="5">
        <v>913</v>
      </c>
      <c r="B922" s="5">
        <v>47</v>
      </c>
      <c r="C922" s="10" t="s">
        <v>160</v>
      </c>
      <c r="D922" s="7" t="s">
        <v>2227</v>
      </c>
      <c r="E922" s="8" t="str">
        <f>T("蠶桑絲綢史話 : 中國史話·物質文明系列")</f>
        <v>蠶桑絲綢史話 : 中國史話·物質文明系列</v>
      </c>
      <c r="F922" s="7" t="s">
        <v>3342</v>
      </c>
      <c r="G922" s="7" t="str">
        <f>T("社科文獻")</f>
        <v>社科文獻</v>
      </c>
      <c r="H922" s="7" t="str">
        <f>T("20110701")</f>
        <v>20110701</v>
      </c>
      <c r="I922" s="7">
        <v>15</v>
      </c>
      <c r="J922" s="7">
        <v>90</v>
      </c>
      <c r="K922" s="9" t="s">
        <v>1340</v>
      </c>
    </row>
    <row r="923" spans="1:11" x14ac:dyDescent="0.25">
      <c r="A923" s="5">
        <v>914</v>
      </c>
      <c r="B923" s="5">
        <v>48</v>
      </c>
      <c r="C923" s="10" t="s">
        <v>62</v>
      </c>
      <c r="D923" s="7" t="s">
        <v>2228</v>
      </c>
      <c r="E923" s="8" t="str">
        <f>T("民俗文化研究")</f>
        <v>民俗文化研究</v>
      </c>
      <c r="F923" s="7" t="s">
        <v>3343</v>
      </c>
      <c r="G923" s="7" t="str">
        <f>T("知識產權")</f>
        <v>知識產權</v>
      </c>
      <c r="H923" s="7" t="str">
        <f>T("20100701")</f>
        <v>20100701</v>
      </c>
      <c r="I923" s="7">
        <v>48</v>
      </c>
      <c r="J923" s="7">
        <v>288</v>
      </c>
      <c r="K923" s="9" t="s">
        <v>113</v>
      </c>
    </row>
    <row r="924" spans="1:11" x14ac:dyDescent="0.25">
      <c r="A924" s="5">
        <v>915</v>
      </c>
      <c r="B924" s="5">
        <v>49</v>
      </c>
      <c r="C924" s="10" t="s">
        <v>634</v>
      </c>
      <c r="D924" s="7" t="s">
        <v>2229</v>
      </c>
      <c r="E924" s="8" t="str">
        <f>T("編織世界.刺繡篇")</f>
        <v>編織世界.刺繡篇</v>
      </c>
      <c r="F924" s="7" t="s">
        <v>3344</v>
      </c>
      <c r="G924" s="7" t="str">
        <f>T("浙江科技")</f>
        <v>浙江科技</v>
      </c>
      <c r="H924" s="7" t="str">
        <f>T("")</f>
        <v/>
      </c>
      <c r="I924" s="7">
        <v>24</v>
      </c>
      <c r="J924" s="7">
        <v>144</v>
      </c>
      <c r="K924" s="9" t="s">
        <v>113</v>
      </c>
    </row>
    <row r="925" spans="1:11" x14ac:dyDescent="0.25">
      <c r="A925" s="5">
        <v>916</v>
      </c>
      <c r="B925" s="5">
        <v>50</v>
      </c>
      <c r="C925" s="10" t="s">
        <v>404</v>
      </c>
      <c r="D925" s="7" t="s">
        <v>2230</v>
      </c>
      <c r="E925" s="8" t="str">
        <f>T("中國影戲特徵及其姊妹藝術")</f>
        <v>中國影戲特徵及其姊妹藝術</v>
      </c>
      <c r="F925" s="7" t="s">
        <v>3345</v>
      </c>
      <c r="G925" s="7" t="str">
        <f>T("大象")</f>
        <v>大象</v>
      </c>
      <c r="H925" s="7" t="str">
        <f>T("20100401")</f>
        <v>20100401</v>
      </c>
      <c r="I925" s="7">
        <v>52</v>
      </c>
      <c r="J925" s="7">
        <v>312</v>
      </c>
      <c r="K925" s="9" t="s">
        <v>113</v>
      </c>
    </row>
    <row r="926" spans="1:11" x14ac:dyDescent="0.25">
      <c r="A926" s="5">
        <v>917</v>
      </c>
      <c r="B926" s="5">
        <v>51</v>
      </c>
      <c r="C926" s="10" t="s">
        <v>644</v>
      </c>
      <c r="D926" s="7" t="s">
        <v>2231</v>
      </c>
      <c r="E926" s="8" t="str">
        <f>T("鑒別草根─中國民間美術分類研究")</f>
        <v>鑒別草根─中國民間美術分類研究</v>
      </c>
      <c r="F926" s="7" t="s">
        <v>3346</v>
      </c>
      <c r="G926" s="7" t="str">
        <f>T("中州古籍")</f>
        <v>中州古籍</v>
      </c>
      <c r="H926" s="7" t="str">
        <f>T("20060101")</f>
        <v>20060101</v>
      </c>
      <c r="I926" s="7">
        <v>38</v>
      </c>
      <c r="J926" s="7">
        <v>228</v>
      </c>
      <c r="K926" s="9" t="s">
        <v>113</v>
      </c>
    </row>
    <row r="927" spans="1:11" ht="28.5" x14ac:dyDescent="0.25">
      <c r="A927" s="5">
        <v>918</v>
      </c>
      <c r="B927" s="5">
        <v>52</v>
      </c>
      <c r="C927" s="10" t="s">
        <v>686</v>
      </c>
      <c r="D927" s="7" t="s">
        <v>1679</v>
      </c>
      <c r="E927" s="8" t="str">
        <f>T("漁陽古風--
北京市非物質文化遺產資源彙編")</f>
        <v>漁陽古風--
北京市非物質文化遺產資源彙編</v>
      </c>
      <c r="F927" s="7" t="s">
        <v>2905</v>
      </c>
      <c r="G927" s="7" t="str">
        <f>T("北京燕山")</f>
        <v>北京燕山</v>
      </c>
      <c r="H927" s="7" t="str">
        <f>T("20091001")</f>
        <v>20091001</v>
      </c>
      <c r="I927" s="7">
        <v>25</v>
      </c>
      <c r="J927" s="7">
        <v>150</v>
      </c>
      <c r="K927" s="9" t="s">
        <v>113</v>
      </c>
    </row>
    <row r="928" spans="1:11" x14ac:dyDescent="0.25">
      <c r="A928" s="5">
        <v>919</v>
      </c>
      <c r="B928" s="5">
        <v>53</v>
      </c>
      <c r="C928" s="10" t="s">
        <v>689</v>
      </c>
      <c r="D928" s="7" t="s">
        <v>2232</v>
      </c>
      <c r="E928" s="8" t="str">
        <f>T("追尋文明遺蹤")</f>
        <v>追尋文明遺蹤</v>
      </c>
      <c r="F928" s="7" t="s">
        <v>2906</v>
      </c>
      <c r="G928" s="7" t="str">
        <f>T("崇文書局")</f>
        <v>崇文書局</v>
      </c>
      <c r="H928" s="7" t="str">
        <f>T("20100101")</f>
        <v>20100101</v>
      </c>
      <c r="I928" s="7">
        <v>19.8</v>
      </c>
      <c r="J928" s="7">
        <v>119</v>
      </c>
      <c r="K928" s="9" t="s">
        <v>113</v>
      </c>
    </row>
    <row r="929" spans="1:11" x14ac:dyDescent="0.25">
      <c r="A929" s="5">
        <v>920</v>
      </c>
      <c r="B929" s="5">
        <v>54</v>
      </c>
      <c r="C929" s="10" t="s">
        <v>693</v>
      </c>
      <c r="D929" s="7" t="s">
        <v>2233</v>
      </c>
      <c r="E929" s="8" t="str">
        <f>T("嶺表尋春-廣東清明節")</f>
        <v>嶺表尋春-廣東清明節</v>
      </c>
      <c r="F929" s="7" t="s">
        <v>3347</v>
      </c>
      <c r="G929" s="7" t="str">
        <f>T("廣東教育")</f>
        <v>廣東教育</v>
      </c>
      <c r="H929" s="7" t="str">
        <f>T("20100301")</f>
        <v>20100301</v>
      </c>
      <c r="I929" s="7">
        <v>25.5</v>
      </c>
      <c r="J929" s="7">
        <v>153</v>
      </c>
      <c r="K929" s="9" t="s">
        <v>113</v>
      </c>
    </row>
    <row r="930" spans="1:11" x14ac:dyDescent="0.25">
      <c r="A930" s="5">
        <v>921</v>
      </c>
      <c r="B930" s="5">
        <v>55</v>
      </c>
      <c r="C930" s="10" t="s">
        <v>694</v>
      </c>
      <c r="D930" s="7" t="s">
        <v>2234</v>
      </c>
      <c r="E930" s="8" t="str">
        <f>T("鵲橋七夕-廣東乞巧節")</f>
        <v>鵲橋七夕-廣東乞巧節</v>
      </c>
      <c r="F930" s="7" t="s">
        <v>3348</v>
      </c>
      <c r="G930" s="7" t="str">
        <f>T("廣東教育")</f>
        <v>廣東教育</v>
      </c>
      <c r="H930" s="7" t="str">
        <f>T("20041201")</f>
        <v>20041201</v>
      </c>
      <c r="I930" s="7">
        <v>29</v>
      </c>
      <c r="J930" s="7">
        <v>174</v>
      </c>
      <c r="K930" s="9" t="s">
        <v>113</v>
      </c>
    </row>
    <row r="931" spans="1:11" x14ac:dyDescent="0.25">
      <c r="A931" s="5">
        <v>922</v>
      </c>
      <c r="B931" s="5">
        <v>56</v>
      </c>
      <c r="C931" s="10" t="s">
        <v>234</v>
      </c>
      <c r="D931" s="7" t="s">
        <v>2235</v>
      </c>
      <c r="E931" s="8" t="str">
        <f>T("中國民間文學史")</f>
        <v>中國民間文學史</v>
      </c>
      <c r="F931" s="7" t="s">
        <v>3349</v>
      </c>
      <c r="G931" s="7" t="str">
        <f>T("河北麥田")</f>
        <v>河北麥田</v>
      </c>
      <c r="H931" s="7" t="str">
        <f>T("20080201")</f>
        <v>20080201</v>
      </c>
      <c r="I931" s="7">
        <v>58</v>
      </c>
      <c r="J931" s="7">
        <v>348</v>
      </c>
      <c r="K931" s="9" t="s">
        <v>113</v>
      </c>
    </row>
    <row r="932" spans="1:11" x14ac:dyDescent="0.25">
      <c r="A932" s="5">
        <v>923</v>
      </c>
      <c r="B932" s="5">
        <v>57</v>
      </c>
      <c r="C932" s="10" t="s">
        <v>516</v>
      </c>
      <c r="D932" s="7" t="s">
        <v>2236</v>
      </c>
      <c r="E932" s="8" t="str">
        <f>T("新疆民族文化精粹快讀書系(七)-人生禮俗")</f>
        <v>新疆民族文化精粹快讀書系(七)-人生禮俗</v>
      </c>
      <c r="F932" s="7" t="s">
        <v>1962</v>
      </c>
      <c r="G932" s="7" t="str">
        <f>T("新疆美攝")</f>
        <v>新疆美攝</v>
      </c>
      <c r="H932" s="7" t="str">
        <f>T("20110401")</f>
        <v>20110401</v>
      </c>
      <c r="I932" s="7">
        <v>24</v>
      </c>
      <c r="J932" s="7">
        <v>144</v>
      </c>
      <c r="K932" s="9" t="s">
        <v>113</v>
      </c>
    </row>
    <row r="933" spans="1:11" x14ac:dyDescent="0.25">
      <c r="A933" s="5">
        <v>924</v>
      </c>
      <c r="B933" s="5">
        <v>58</v>
      </c>
      <c r="C933" s="10" t="s">
        <v>515</v>
      </c>
      <c r="D933" s="7" t="s">
        <v>2237</v>
      </c>
      <c r="E933" s="8" t="str">
        <f>T("新疆民族文化精粹快讀書系(八)-民間遊藝")</f>
        <v>新疆民族文化精粹快讀書系(八)-民間遊藝</v>
      </c>
      <c r="F933" s="7" t="s">
        <v>1962</v>
      </c>
      <c r="G933" s="7" t="str">
        <f>T("新疆美攝")</f>
        <v>新疆美攝</v>
      </c>
      <c r="H933" s="7" t="str">
        <f>T("20110401")</f>
        <v>20110401</v>
      </c>
      <c r="I933" s="7">
        <v>24</v>
      </c>
      <c r="J933" s="7">
        <v>144</v>
      </c>
      <c r="K933" s="9" t="s">
        <v>113</v>
      </c>
    </row>
    <row r="934" spans="1:11" x14ac:dyDescent="0.25">
      <c r="A934" s="5">
        <v>925</v>
      </c>
      <c r="B934" s="5">
        <v>59</v>
      </c>
      <c r="C934" s="10" t="s">
        <v>911</v>
      </c>
      <c r="D934" s="7" t="s">
        <v>2238</v>
      </c>
      <c r="E934" s="8" t="str">
        <f>T("濟南民間藝術")</f>
        <v>濟南民間藝術</v>
      </c>
      <c r="F934" s="7" t="s">
        <v>2609</v>
      </c>
      <c r="G934" s="7" t="str">
        <f>T("濟南")</f>
        <v>濟南</v>
      </c>
      <c r="H934" s="7" t="str">
        <f>T("20101001")</f>
        <v>20101001</v>
      </c>
      <c r="I934" s="7">
        <v>17</v>
      </c>
      <c r="J934" s="7">
        <v>102</v>
      </c>
      <c r="K934" s="9" t="s">
        <v>113</v>
      </c>
    </row>
    <row r="935" spans="1:11" x14ac:dyDescent="0.25">
      <c r="A935" s="5">
        <v>926</v>
      </c>
      <c r="B935" s="5">
        <v>60</v>
      </c>
      <c r="C935" s="10" t="s">
        <v>174</v>
      </c>
      <c r="D935" s="7" t="s">
        <v>2239</v>
      </c>
      <c r="E935" s="8" t="str">
        <f>T("孤獨的詩性 : 論沈從文與中國傳統文化")</f>
        <v>孤獨的詩性 : 論沈從文與中國傳統文化</v>
      </c>
      <c r="F935" s="7" t="s">
        <v>3350</v>
      </c>
      <c r="G935" s="7" t="str">
        <f>T("華東師大")</f>
        <v>華東師大</v>
      </c>
      <c r="H935" s="7" t="str">
        <f>T("20090201")</f>
        <v>20090201</v>
      </c>
      <c r="I935" s="7">
        <v>32</v>
      </c>
      <c r="J935" s="7">
        <v>192</v>
      </c>
      <c r="K935" s="9" t="s">
        <v>113</v>
      </c>
    </row>
    <row r="936" spans="1:11" ht="28.5" x14ac:dyDescent="0.25">
      <c r="A936" s="5">
        <v>927</v>
      </c>
      <c r="B936" s="5">
        <v>61</v>
      </c>
      <c r="C936" s="10" t="s">
        <v>1030</v>
      </c>
      <c r="D936" s="7" t="s">
        <v>2240</v>
      </c>
      <c r="E936" s="8" t="str">
        <f>T("火塘、教堂、電視 : 一個少數民族社區的社會傳播網路研究")</f>
        <v>火塘、教堂、電視 : 一個少數民族社區的社會傳播網路研究</v>
      </c>
      <c r="F936" s="7" t="s">
        <v>3351</v>
      </c>
      <c r="G936" s="7" t="str">
        <f>T("光明日報")</f>
        <v>光明日報</v>
      </c>
      <c r="H936" s="7" t="str">
        <f>T("20081101")</f>
        <v>20081101</v>
      </c>
      <c r="I936" s="7">
        <v>32.799999999999997</v>
      </c>
      <c r="J936" s="7">
        <v>197</v>
      </c>
      <c r="K936" s="9" t="s">
        <v>113</v>
      </c>
    </row>
    <row r="937" spans="1:11" x14ac:dyDescent="0.25">
      <c r="A937" s="5">
        <v>928</v>
      </c>
      <c r="B937" s="5">
        <v>62</v>
      </c>
      <c r="C937" s="10" t="s">
        <v>1074</v>
      </c>
      <c r="D937" s="7" t="s">
        <v>2241</v>
      </c>
      <c r="E937" s="8" t="str">
        <f>T("中國世界舞蹈文化")</f>
        <v>中國世界舞蹈文化</v>
      </c>
      <c r="F937" s="7" t="s">
        <v>3352</v>
      </c>
      <c r="G937" s="7" t="str">
        <f>T("時事")</f>
        <v>時事</v>
      </c>
      <c r="H937" s="7" t="str">
        <f>T("20090101")</f>
        <v>20090101</v>
      </c>
      <c r="I937" s="7">
        <v>39</v>
      </c>
      <c r="J937" s="7">
        <v>234</v>
      </c>
      <c r="K937" s="9" t="s">
        <v>113</v>
      </c>
    </row>
    <row r="938" spans="1:11" x14ac:dyDescent="0.25">
      <c r="A938" s="5">
        <v>929</v>
      </c>
      <c r="B938" s="5">
        <v>63</v>
      </c>
      <c r="C938" s="10" t="s">
        <v>1092</v>
      </c>
      <c r="D938" s="7" t="s">
        <v>2242</v>
      </c>
      <c r="E938" s="8" t="str">
        <f>T("神州節律")</f>
        <v>神州節律</v>
      </c>
      <c r="F938" s="7" t="s">
        <v>3353</v>
      </c>
      <c r="G938" s="7" t="str">
        <f>T("現代")</f>
        <v>現代</v>
      </c>
      <c r="H938" s="7" t="str">
        <f>T("20100101")</f>
        <v>20100101</v>
      </c>
      <c r="I938" s="7">
        <v>28</v>
      </c>
      <c r="J938" s="7">
        <v>168</v>
      </c>
      <c r="K938" s="9" t="s">
        <v>113</v>
      </c>
    </row>
    <row r="939" spans="1:11" x14ac:dyDescent="0.25">
      <c r="A939" s="5">
        <v>930</v>
      </c>
      <c r="B939" s="5">
        <v>64</v>
      </c>
      <c r="C939" s="10" t="s">
        <v>1099</v>
      </c>
      <c r="D939" s="7" t="s">
        <v>2243</v>
      </c>
      <c r="E939" s="8" t="str">
        <f>T("風箏技藝與訣竅")</f>
        <v>風箏技藝與訣竅</v>
      </c>
      <c r="F939" s="7" t="s">
        <v>3354</v>
      </c>
      <c r="G939" s="7" t="str">
        <f>T("北京工美")</f>
        <v>北京工美</v>
      </c>
      <c r="H939" s="7" t="str">
        <f>T("20080101")</f>
        <v>20080101</v>
      </c>
      <c r="I939" s="7">
        <v>36</v>
      </c>
      <c r="J939" s="7">
        <v>216</v>
      </c>
      <c r="K939" s="9" t="s">
        <v>113</v>
      </c>
    </row>
    <row r="940" spans="1:11" x14ac:dyDescent="0.25">
      <c r="A940" s="5">
        <v>931</v>
      </c>
      <c r="B940" s="5">
        <v>65</v>
      </c>
      <c r="C940" s="10" t="s">
        <v>1111</v>
      </c>
      <c r="D940" s="7" t="s">
        <v>2244</v>
      </c>
      <c r="E940" s="8" t="str">
        <f>T("老自行車")</f>
        <v>老自行車</v>
      </c>
      <c r="F940" s="7" t="s">
        <v>3355</v>
      </c>
      <c r="G940" s="7" t="str">
        <f>T("遼寧畫報")</f>
        <v>遼寧畫報</v>
      </c>
      <c r="H940" s="7" t="str">
        <f>T("20070101")</f>
        <v>20070101</v>
      </c>
      <c r="I940" s="7">
        <v>36</v>
      </c>
      <c r="J940" s="7">
        <v>216</v>
      </c>
      <c r="K940" s="9" t="s">
        <v>113</v>
      </c>
    </row>
    <row r="941" spans="1:11" x14ac:dyDescent="0.25">
      <c r="A941" s="5">
        <v>932</v>
      </c>
      <c r="B941" s="5">
        <v>66</v>
      </c>
      <c r="C941" s="10" t="s">
        <v>1200</v>
      </c>
      <c r="D941" s="7" t="s">
        <v>2245</v>
      </c>
      <c r="E941" s="8" t="str">
        <f>T("民俗上海——閘北卷")</f>
        <v>民俗上海——閘北卷</v>
      </c>
      <c r="F941" s="7" t="s">
        <v>3356</v>
      </c>
      <c r="G941" s="7" t="str">
        <f>T("山東畫報")</f>
        <v>山東畫報</v>
      </c>
      <c r="H941" s="7" t="str">
        <f>T("20070101")</f>
        <v>20070101</v>
      </c>
      <c r="I941" s="7">
        <v>48</v>
      </c>
      <c r="J941" s="7">
        <v>288</v>
      </c>
      <c r="K941" s="9" t="s">
        <v>113</v>
      </c>
    </row>
    <row r="942" spans="1:11" x14ac:dyDescent="0.25">
      <c r="A942" s="5">
        <v>933</v>
      </c>
      <c r="B942" s="5">
        <v>67</v>
      </c>
      <c r="C942" s="10" t="s">
        <v>362</v>
      </c>
      <c r="D942" s="7" t="s">
        <v>2246</v>
      </c>
      <c r="E942" s="8" t="str">
        <f>T("新疆北鯢的故鄉[溫泉神話]")</f>
        <v>新疆北鯢的故鄉[溫泉神話]</v>
      </c>
      <c r="F942" s="7" t="s">
        <v>1962</v>
      </c>
      <c r="G942" s="7" t="str">
        <f>T("新疆科技")</f>
        <v>新疆科技</v>
      </c>
      <c r="H942" s="7" t="str">
        <f>T("20080201")</f>
        <v>20080201</v>
      </c>
      <c r="I942" s="7">
        <v>30</v>
      </c>
      <c r="J942" s="7">
        <v>180</v>
      </c>
      <c r="K942" s="9" t="s">
        <v>113</v>
      </c>
    </row>
    <row r="943" spans="1:11" x14ac:dyDescent="0.25">
      <c r="A943" s="5">
        <v>934</v>
      </c>
      <c r="B943" s="5">
        <v>68</v>
      </c>
      <c r="C943" s="10" t="s">
        <v>363</v>
      </c>
      <c r="D943" s="7" t="s">
        <v>2247</v>
      </c>
      <c r="E943" s="8" t="str">
        <f>T("新疆北鯢的故鄉[溫泉聖境]")</f>
        <v>新疆北鯢的故鄉[溫泉聖境]</v>
      </c>
      <c r="F943" s="7" t="s">
        <v>1962</v>
      </c>
      <c r="G943" s="7" t="str">
        <f>T("新疆科技")</f>
        <v>新疆科技</v>
      </c>
      <c r="H943" s="7" t="str">
        <f>T("20110401")</f>
        <v>20110401</v>
      </c>
      <c r="I943" s="7">
        <v>23</v>
      </c>
      <c r="J943" s="7">
        <v>138</v>
      </c>
      <c r="K943" s="9" t="s">
        <v>113</v>
      </c>
    </row>
    <row r="944" spans="1:11" x14ac:dyDescent="0.25">
      <c r="A944" s="5">
        <v>935</v>
      </c>
      <c r="B944" s="5">
        <v>69</v>
      </c>
      <c r="C944" s="10" t="s">
        <v>1277</v>
      </c>
      <c r="D944" s="7" t="s">
        <v>2248</v>
      </c>
      <c r="E944" s="8" t="str">
        <f>T("中國波斑鳩")</f>
        <v>中國波斑鳩</v>
      </c>
      <c r="F944" s="7" t="s">
        <v>1962</v>
      </c>
      <c r="G944" s="7" t="str">
        <f>T("新疆科技")</f>
        <v>新疆科技</v>
      </c>
      <c r="H944" s="7" t="str">
        <f>T("20080201")</f>
        <v>20080201</v>
      </c>
      <c r="I944" s="7">
        <v>36</v>
      </c>
      <c r="J944" s="7">
        <v>216</v>
      </c>
      <c r="K944" s="9" t="s">
        <v>113</v>
      </c>
    </row>
    <row r="945" spans="1:11" x14ac:dyDescent="0.25">
      <c r="A945" s="5">
        <v>936</v>
      </c>
      <c r="B945" s="5">
        <v>70</v>
      </c>
      <c r="C945" s="10" t="s">
        <v>1288</v>
      </c>
      <c r="D945" s="7" t="s">
        <v>2249</v>
      </c>
      <c r="E945" s="8" t="str">
        <f>T("中國民舞")</f>
        <v>中國民舞</v>
      </c>
      <c r="F945" s="7" t="s">
        <v>3357</v>
      </c>
      <c r="G945" s="7" t="str">
        <f>T("古吳軒")</f>
        <v>古吳軒</v>
      </c>
      <c r="H945" s="7" t="str">
        <f>T("20100501")</f>
        <v>20100501</v>
      </c>
      <c r="I945" s="7">
        <v>29.8</v>
      </c>
      <c r="J945" s="7">
        <v>179</v>
      </c>
      <c r="K945" s="9" t="s">
        <v>113</v>
      </c>
    </row>
    <row r="946" spans="1:11" x14ac:dyDescent="0.25">
      <c r="A946" s="5">
        <v>937</v>
      </c>
      <c r="B946" s="5">
        <v>71</v>
      </c>
      <c r="C946" s="10" t="s">
        <v>1293</v>
      </c>
      <c r="D946" s="7" t="s">
        <v>2250</v>
      </c>
      <c r="E946" s="8" t="str">
        <f>T("民俗上海——楊浦卷")</f>
        <v>民俗上海——楊浦卷</v>
      </c>
      <c r="F946" s="7" t="s">
        <v>3356</v>
      </c>
      <c r="G946" s="7" t="str">
        <f>T("山東畫報")</f>
        <v>山東畫報</v>
      </c>
      <c r="H946" s="7" t="str">
        <f>T("20070101")</f>
        <v>20070101</v>
      </c>
      <c r="I946" s="7">
        <v>48</v>
      </c>
      <c r="J946" s="7">
        <v>288</v>
      </c>
      <c r="K946" s="9" t="s">
        <v>113</v>
      </c>
    </row>
    <row r="947" spans="1:11" x14ac:dyDescent="0.25">
      <c r="A947" s="5">
        <v>938</v>
      </c>
      <c r="B947" s="5">
        <v>72</v>
      </c>
      <c r="C947" s="10" t="s">
        <v>1295</v>
      </c>
      <c r="D947" s="7" t="s">
        <v>2251</v>
      </c>
      <c r="E947" s="8" t="str">
        <f>T("文藝民俗學")</f>
        <v>文藝民俗學</v>
      </c>
      <c r="F947" s="7" t="s">
        <v>3358</v>
      </c>
      <c r="G947" s="7" t="str">
        <f>T("上海文化")</f>
        <v>上海文化</v>
      </c>
      <c r="H947" s="7" t="str">
        <f>T("20090701")</f>
        <v>20090701</v>
      </c>
      <c r="I947" s="7">
        <v>36</v>
      </c>
      <c r="J947" s="7">
        <v>216</v>
      </c>
      <c r="K947" s="9" t="s">
        <v>1340</v>
      </c>
    </row>
    <row r="948" spans="1:11" x14ac:dyDescent="0.25">
      <c r="A948" s="5">
        <v>939</v>
      </c>
      <c r="B948" s="5">
        <v>73</v>
      </c>
      <c r="C948" s="10" t="s">
        <v>1303</v>
      </c>
      <c r="D948" s="7" t="s">
        <v>2252</v>
      </c>
      <c r="E948" s="8" t="str">
        <f>T("鄉村的表情(彩色)")</f>
        <v>鄉村的表情(彩色)</v>
      </c>
      <c r="F948" s="7" t="s">
        <v>3359</v>
      </c>
      <c r="G948" s="7" t="str">
        <f>T("百花洲文藝")</f>
        <v>百花洲文藝</v>
      </c>
      <c r="H948" s="7" t="str">
        <f>T("20090101")</f>
        <v>20090101</v>
      </c>
      <c r="I948" s="7">
        <v>32</v>
      </c>
      <c r="J948" s="7">
        <v>192</v>
      </c>
      <c r="K948" s="9" t="s">
        <v>113</v>
      </c>
    </row>
    <row r="949" spans="1:11" x14ac:dyDescent="0.25">
      <c r="A949" s="5">
        <v>940</v>
      </c>
      <c r="B949" s="5">
        <v>74</v>
      </c>
      <c r="C949" s="10" t="s">
        <v>1121</v>
      </c>
      <c r="D949" s="7" t="s">
        <v>2253</v>
      </c>
      <c r="E949" s="8" t="str">
        <f>T("歷史的見證：印刷技術")</f>
        <v>歷史的見證：印刷技術</v>
      </c>
      <c r="F949" s="7" t="s">
        <v>2970</v>
      </c>
      <c r="G949" s="7" t="str">
        <f>T("百花洲文藝")</f>
        <v>百花洲文藝</v>
      </c>
      <c r="H949" s="7" t="str">
        <f>T("20090801")</f>
        <v>20090801</v>
      </c>
      <c r="I949" s="7">
        <v>19.8</v>
      </c>
      <c r="J949" s="7">
        <v>119</v>
      </c>
      <c r="K949" s="9" t="s">
        <v>113</v>
      </c>
    </row>
    <row r="950" spans="1:11" x14ac:dyDescent="0.25">
      <c r="A950" s="5">
        <v>941</v>
      </c>
      <c r="B950" s="5">
        <v>75</v>
      </c>
      <c r="C950" s="10" t="s">
        <v>1122</v>
      </c>
      <c r="D950" s="7" t="s">
        <v>2254</v>
      </c>
      <c r="E950" s="8" t="str">
        <f>T("文化的傳播：造紙藝術")</f>
        <v>文化的傳播：造紙藝術</v>
      </c>
      <c r="F950" s="7" t="s">
        <v>2970</v>
      </c>
      <c r="G950" s="7" t="str">
        <f>T("百花洲文藝")</f>
        <v>百花洲文藝</v>
      </c>
      <c r="H950" s="7" t="str">
        <f>T("20090801")</f>
        <v>20090801</v>
      </c>
      <c r="I950" s="7">
        <v>19.8</v>
      </c>
      <c r="J950" s="7">
        <v>119</v>
      </c>
      <c r="K950" s="9" t="s">
        <v>113</v>
      </c>
    </row>
    <row r="951" spans="1:11" x14ac:dyDescent="0.25">
      <c r="A951" s="5">
        <v>942</v>
      </c>
      <c r="B951" s="5">
        <v>76</v>
      </c>
      <c r="C951" s="10" t="s">
        <v>258</v>
      </c>
      <c r="D951" s="7" t="s">
        <v>2255</v>
      </c>
      <c r="E951" s="8" t="str">
        <f>T("婚慶喜壽全典")</f>
        <v>婚慶喜壽全典</v>
      </c>
      <c r="F951" s="7" t="s">
        <v>3360</v>
      </c>
      <c r="G951" s="7" t="str">
        <f>T("上海社科")</f>
        <v>上海社科</v>
      </c>
      <c r="H951" s="7" t="str">
        <f>T("20100101")</f>
        <v>20100101</v>
      </c>
      <c r="I951" s="7">
        <v>28</v>
      </c>
      <c r="J951" s="7">
        <v>168</v>
      </c>
      <c r="K951" s="9" t="s">
        <v>113</v>
      </c>
    </row>
    <row r="952" spans="1:11" x14ac:dyDescent="0.25">
      <c r="A952" s="5">
        <v>943</v>
      </c>
      <c r="B952" s="5">
        <v>77</v>
      </c>
      <c r="C952" s="10" t="s">
        <v>1132</v>
      </c>
      <c r="D952" s="7" t="s">
        <v>2256</v>
      </c>
      <c r="E952" s="8" t="str">
        <f>T("源與流:傳統文化與現代設計")</f>
        <v>源與流:傳統文化與現代設計</v>
      </c>
      <c r="F952" s="7" t="s">
        <v>3361</v>
      </c>
      <c r="G952" s="7" t="str">
        <f>T("江西美術")</f>
        <v>江西美術</v>
      </c>
      <c r="H952" s="7" t="str">
        <f>T("20070501")</f>
        <v>20070501</v>
      </c>
      <c r="I952" s="7">
        <v>25</v>
      </c>
      <c r="J952" s="7">
        <v>150</v>
      </c>
      <c r="K952" s="9" t="s">
        <v>113</v>
      </c>
    </row>
    <row r="953" spans="1:11" x14ac:dyDescent="0.25">
      <c r="A953" s="19" t="s">
        <v>1342</v>
      </c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5">
        <v>944</v>
      </c>
      <c r="B954" s="5">
        <v>1</v>
      </c>
      <c r="C954" s="10" t="s">
        <v>599</v>
      </c>
      <c r="D954" s="7" t="s">
        <v>2257</v>
      </c>
      <c r="E954" s="8" t="str">
        <f>T("珍版海外回歸中醫古籍叢書-(第二冊)")</f>
        <v>珍版海外回歸中醫古籍叢書-(第二冊)</v>
      </c>
      <c r="F954" s="7" t="s">
        <v>3362</v>
      </c>
      <c r="G954" s="7" t="str">
        <f t="shared" ref="G954:G962" si="44">T("人民衛生")</f>
        <v>人民衛生</v>
      </c>
      <c r="H954" s="7" t="str">
        <f t="shared" ref="H954:H962" si="45">T("20080801")</f>
        <v>20080801</v>
      </c>
      <c r="I954" s="7">
        <v>188</v>
      </c>
      <c r="J954" s="7">
        <v>1128</v>
      </c>
      <c r="K954" s="9" t="s">
        <v>260</v>
      </c>
    </row>
    <row r="955" spans="1:11" x14ac:dyDescent="0.25">
      <c r="A955" s="5">
        <v>945</v>
      </c>
      <c r="B955" s="5">
        <v>2</v>
      </c>
      <c r="C955" s="10" t="s">
        <v>600</v>
      </c>
      <c r="D955" s="7" t="s">
        <v>2258</v>
      </c>
      <c r="E955" s="8" t="str">
        <f>T("珍版海外回歸中醫古籍叢書-(第三冊)")</f>
        <v>珍版海外回歸中醫古籍叢書-(第三冊)</v>
      </c>
      <c r="F955" s="7" t="s">
        <v>3362</v>
      </c>
      <c r="G955" s="7" t="str">
        <f t="shared" si="44"/>
        <v>人民衛生</v>
      </c>
      <c r="H955" s="7" t="str">
        <f t="shared" si="45"/>
        <v>20080801</v>
      </c>
      <c r="I955" s="7">
        <v>184</v>
      </c>
      <c r="J955" s="7">
        <v>1104</v>
      </c>
      <c r="K955" s="9" t="s">
        <v>1343</v>
      </c>
    </row>
    <row r="956" spans="1:11" x14ac:dyDescent="0.25">
      <c r="A956" s="5">
        <v>946</v>
      </c>
      <c r="B956" s="5">
        <v>3</v>
      </c>
      <c r="C956" s="10" t="s">
        <v>601</v>
      </c>
      <c r="D956" s="7" t="s">
        <v>2259</v>
      </c>
      <c r="E956" s="8" t="str">
        <f>T("珍版海外回歸中醫古籍叢書-(第四冊)")</f>
        <v>珍版海外回歸中醫古籍叢書-(第四冊)</v>
      </c>
      <c r="F956" s="7" t="s">
        <v>3362</v>
      </c>
      <c r="G956" s="7" t="str">
        <f t="shared" si="44"/>
        <v>人民衛生</v>
      </c>
      <c r="H956" s="7" t="str">
        <f t="shared" si="45"/>
        <v>20080801</v>
      </c>
      <c r="I956" s="7">
        <v>215</v>
      </c>
      <c r="J956" s="7">
        <v>1290</v>
      </c>
      <c r="K956" s="9" t="s">
        <v>260</v>
      </c>
    </row>
    <row r="957" spans="1:11" x14ac:dyDescent="0.25">
      <c r="A957" s="5">
        <v>947</v>
      </c>
      <c r="B957" s="5">
        <v>4</v>
      </c>
      <c r="C957" s="10" t="s">
        <v>602</v>
      </c>
      <c r="D957" s="7" t="s">
        <v>2260</v>
      </c>
      <c r="E957" s="8" t="str">
        <f>T("珍版海外回歸中醫古籍叢書-(第五冊)")</f>
        <v>珍版海外回歸中醫古籍叢書-(第五冊)</v>
      </c>
      <c r="F957" s="7" t="s">
        <v>3362</v>
      </c>
      <c r="G957" s="7" t="str">
        <f t="shared" si="44"/>
        <v>人民衛生</v>
      </c>
      <c r="H957" s="7" t="str">
        <f t="shared" si="45"/>
        <v>20080801</v>
      </c>
      <c r="I957" s="7">
        <v>208</v>
      </c>
      <c r="J957" s="7">
        <v>1248</v>
      </c>
      <c r="K957" s="9" t="s">
        <v>1343</v>
      </c>
    </row>
    <row r="958" spans="1:11" x14ac:dyDescent="0.25">
      <c r="A958" s="5">
        <v>948</v>
      </c>
      <c r="B958" s="5">
        <v>5</v>
      </c>
      <c r="C958" s="10" t="s">
        <v>603</v>
      </c>
      <c r="D958" s="7" t="s">
        <v>2261</v>
      </c>
      <c r="E958" s="8" t="str">
        <f>T("珍版海外回歸中醫古籍叢書-(第六冊)")</f>
        <v>珍版海外回歸中醫古籍叢書-(第六冊)</v>
      </c>
      <c r="F958" s="7" t="s">
        <v>3362</v>
      </c>
      <c r="G958" s="7" t="str">
        <f t="shared" si="44"/>
        <v>人民衛生</v>
      </c>
      <c r="H958" s="7" t="str">
        <f t="shared" si="45"/>
        <v>20080801</v>
      </c>
      <c r="I958" s="7">
        <v>198</v>
      </c>
      <c r="J958" s="7">
        <v>1188</v>
      </c>
      <c r="K958" s="9" t="s">
        <v>1343</v>
      </c>
    </row>
    <row r="959" spans="1:11" x14ac:dyDescent="0.25">
      <c r="A959" s="5">
        <v>949</v>
      </c>
      <c r="B959" s="5">
        <v>6</v>
      </c>
      <c r="C959" s="10" t="s">
        <v>604</v>
      </c>
      <c r="D959" s="7" t="s">
        <v>2262</v>
      </c>
      <c r="E959" s="8" t="str">
        <f>T("珍版海外回歸中醫古籍叢書-(第七冊)")</f>
        <v>珍版海外回歸中醫古籍叢書-(第七冊)</v>
      </c>
      <c r="F959" s="7" t="s">
        <v>3362</v>
      </c>
      <c r="G959" s="7" t="str">
        <f t="shared" si="44"/>
        <v>人民衛生</v>
      </c>
      <c r="H959" s="7" t="str">
        <f t="shared" si="45"/>
        <v>20080801</v>
      </c>
      <c r="I959" s="7">
        <v>225</v>
      </c>
      <c r="J959" s="7">
        <v>1350</v>
      </c>
      <c r="K959" s="9" t="s">
        <v>1343</v>
      </c>
    </row>
    <row r="960" spans="1:11" x14ac:dyDescent="0.25">
      <c r="A960" s="5">
        <v>950</v>
      </c>
      <c r="B960" s="5">
        <v>7</v>
      </c>
      <c r="C960" s="10" t="s">
        <v>605</v>
      </c>
      <c r="D960" s="7" t="s">
        <v>2263</v>
      </c>
      <c r="E960" s="8" t="str">
        <f>T("珍版海外回歸中醫古籍叢書-(第八冊)")</f>
        <v>珍版海外回歸中醫古籍叢書-(第八冊)</v>
      </c>
      <c r="F960" s="7" t="s">
        <v>3362</v>
      </c>
      <c r="G960" s="7" t="str">
        <f t="shared" si="44"/>
        <v>人民衛生</v>
      </c>
      <c r="H960" s="7" t="str">
        <f t="shared" si="45"/>
        <v>20080801</v>
      </c>
      <c r="I960" s="7">
        <v>188</v>
      </c>
      <c r="J960" s="7">
        <v>1128</v>
      </c>
      <c r="K960" s="9" t="s">
        <v>1343</v>
      </c>
    </row>
    <row r="961" spans="1:11" x14ac:dyDescent="0.25">
      <c r="A961" s="5">
        <v>951</v>
      </c>
      <c r="B961" s="5">
        <v>8</v>
      </c>
      <c r="C961" s="10" t="s">
        <v>606</v>
      </c>
      <c r="D961" s="7" t="s">
        <v>2264</v>
      </c>
      <c r="E961" s="8" t="str">
        <f>T("珍版海外回歸中醫古籍叢書-(第九冊)")</f>
        <v>珍版海外回歸中醫古籍叢書-(第九冊)</v>
      </c>
      <c r="F961" s="7" t="s">
        <v>3362</v>
      </c>
      <c r="G961" s="7" t="str">
        <f t="shared" si="44"/>
        <v>人民衛生</v>
      </c>
      <c r="H961" s="7" t="str">
        <f t="shared" si="45"/>
        <v>20080801</v>
      </c>
      <c r="I961" s="7">
        <v>188</v>
      </c>
      <c r="J961" s="7">
        <v>1128</v>
      </c>
      <c r="K961" s="9" t="s">
        <v>1343</v>
      </c>
    </row>
    <row r="962" spans="1:11" x14ac:dyDescent="0.25">
      <c r="A962" s="5">
        <v>952</v>
      </c>
      <c r="B962" s="5">
        <v>9</v>
      </c>
      <c r="C962" s="10" t="s">
        <v>607</v>
      </c>
      <c r="D962" s="7" t="s">
        <v>2265</v>
      </c>
      <c r="E962" s="8" t="str">
        <f>T("珍版海外回歸中醫古籍叢書-(第十冊)")</f>
        <v>珍版海外回歸中醫古籍叢書-(第十冊)</v>
      </c>
      <c r="F962" s="7" t="s">
        <v>3362</v>
      </c>
      <c r="G962" s="7" t="str">
        <f t="shared" si="44"/>
        <v>人民衛生</v>
      </c>
      <c r="H962" s="7" t="str">
        <f t="shared" si="45"/>
        <v>20080801</v>
      </c>
      <c r="I962" s="7">
        <v>216</v>
      </c>
      <c r="J962" s="7">
        <v>1296</v>
      </c>
      <c r="K962" s="9" t="s">
        <v>1343</v>
      </c>
    </row>
    <row r="963" spans="1:11" x14ac:dyDescent="0.25">
      <c r="A963" s="5">
        <v>953</v>
      </c>
      <c r="B963" s="5">
        <v>10</v>
      </c>
      <c r="C963" s="10" t="s">
        <v>775</v>
      </c>
      <c r="D963" s="7" t="s">
        <v>2266</v>
      </c>
      <c r="E963" s="8" t="str">
        <f>T("孕產婦飲食營養誤區")</f>
        <v>孕產婦飲食營養誤區</v>
      </c>
      <c r="F963" s="7" t="s">
        <v>3363</v>
      </c>
      <c r="G963" s="7" t="str">
        <f>T("廣東人民")</f>
        <v>廣東人民</v>
      </c>
      <c r="H963" s="7" t="str">
        <f>T("")</f>
        <v/>
      </c>
      <c r="I963" s="7">
        <v>8.6</v>
      </c>
      <c r="J963" s="7">
        <v>52</v>
      </c>
      <c r="K963" s="9" t="s">
        <v>260</v>
      </c>
    </row>
    <row r="964" spans="1:11" x14ac:dyDescent="0.25">
      <c r="A964" s="5">
        <v>954</v>
      </c>
      <c r="B964" s="5">
        <v>11</v>
      </c>
      <c r="C964" s="10" t="s">
        <v>378</v>
      </c>
      <c r="D964" s="7" t="s">
        <v>2267</v>
      </c>
      <c r="E964" s="8" t="str">
        <f>T("品味：環球葡萄酒名莊之旅")</f>
        <v>品味：環球葡萄酒名莊之旅</v>
      </c>
      <c r="F964" s="7" t="s">
        <v>3364</v>
      </c>
      <c r="G964" s="7" t="str">
        <f>T("廣西人民")</f>
        <v>廣西人民</v>
      </c>
      <c r="H964" s="7" t="str">
        <f>T("20100201")</f>
        <v>20100201</v>
      </c>
      <c r="I964" s="7">
        <v>48</v>
      </c>
      <c r="J964" s="7">
        <v>288</v>
      </c>
      <c r="K964" s="9" t="s">
        <v>260</v>
      </c>
    </row>
    <row r="965" spans="1:11" x14ac:dyDescent="0.25">
      <c r="A965" s="5">
        <v>955</v>
      </c>
      <c r="B965" s="5">
        <v>12</v>
      </c>
      <c r="C965" s="10" t="s">
        <v>200</v>
      </c>
      <c r="D965" s="7" t="s">
        <v>2268</v>
      </c>
      <c r="E965" s="8" t="str">
        <f>T("醫學人文十五講")</f>
        <v>醫學人文十五講</v>
      </c>
      <c r="F965" s="7" t="s">
        <v>3365</v>
      </c>
      <c r="G965" s="7" t="str">
        <f>T("北京大學")</f>
        <v>北京大學</v>
      </c>
      <c r="H965" s="7" t="str">
        <f>T("20060701")</f>
        <v>20060701</v>
      </c>
      <c r="I965" s="7">
        <v>22</v>
      </c>
      <c r="J965" s="7">
        <v>132</v>
      </c>
      <c r="K965" s="9" t="s">
        <v>1343</v>
      </c>
    </row>
    <row r="966" spans="1:11" x14ac:dyDescent="0.25">
      <c r="A966" s="5">
        <v>956</v>
      </c>
      <c r="B966" s="5">
        <v>13</v>
      </c>
      <c r="C966" s="10" t="s">
        <v>743</v>
      </c>
      <c r="D966" s="7" t="s">
        <v>2269</v>
      </c>
      <c r="E966" s="8" t="str">
        <f>T("飲食紊亂")</f>
        <v>飲食紊亂</v>
      </c>
      <c r="F966" s="7" t="s">
        <v>3366</v>
      </c>
      <c r="G966" s="7" t="str">
        <f>T("中國青年")</f>
        <v>中國青年</v>
      </c>
      <c r="H966" s="7" t="str">
        <f>T("")</f>
        <v/>
      </c>
      <c r="I966" s="7">
        <v>9.8000000000000007</v>
      </c>
      <c r="J966" s="7">
        <v>59</v>
      </c>
      <c r="K966" s="9" t="s">
        <v>260</v>
      </c>
    </row>
    <row r="967" spans="1:11" x14ac:dyDescent="0.25">
      <c r="A967" s="5">
        <v>957</v>
      </c>
      <c r="B967" s="5">
        <v>14</v>
      </c>
      <c r="C967" s="10" t="s">
        <v>471</v>
      </c>
      <c r="D967" s="7" t="s">
        <v>2270</v>
      </c>
      <c r="E967" s="8" t="str">
        <f>T("吳裕泰─品茶館")</f>
        <v>吳裕泰─品茶館</v>
      </c>
      <c r="F967" s="7" t="s">
        <v>1312</v>
      </c>
      <c r="G967" s="7" t="str">
        <f>T("中國輕工")</f>
        <v>中國輕工</v>
      </c>
      <c r="H967" s="7" t="str">
        <f>T("20060901")</f>
        <v>20060901</v>
      </c>
      <c r="I967" s="7">
        <v>28</v>
      </c>
      <c r="J967" s="7">
        <v>168</v>
      </c>
      <c r="K967" s="9" t="s">
        <v>260</v>
      </c>
    </row>
    <row r="968" spans="1:11" x14ac:dyDescent="0.25">
      <c r="A968" s="5">
        <v>958</v>
      </c>
      <c r="B968" s="5">
        <v>15</v>
      </c>
      <c r="C968" s="10" t="s">
        <v>419</v>
      </c>
      <c r="D968" s="7" t="s">
        <v>2271</v>
      </c>
      <c r="E968" s="8" t="str">
        <f>T("實用臨床藥物手冊")</f>
        <v>實用臨床藥物手冊</v>
      </c>
      <c r="F968" s="7" t="s">
        <v>3367</v>
      </c>
      <c r="G968" s="7" t="str">
        <f>T("上海世界")</f>
        <v>上海世界</v>
      </c>
      <c r="H968" s="7" t="str">
        <f>T("20090101")</f>
        <v>20090101</v>
      </c>
      <c r="I968" s="7">
        <v>98</v>
      </c>
      <c r="J968" s="7">
        <v>588</v>
      </c>
      <c r="K968" s="9" t="s">
        <v>1343</v>
      </c>
    </row>
    <row r="969" spans="1:11" x14ac:dyDescent="0.25">
      <c r="A969" s="5">
        <v>959</v>
      </c>
      <c r="B969" s="5">
        <v>16</v>
      </c>
      <c r="C969" s="10" t="s">
        <v>49</v>
      </c>
      <c r="D969" s="7" t="s">
        <v>2272</v>
      </c>
      <c r="E969" s="8" t="str">
        <f>T("孕產婦飲食調養")</f>
        <v>孕產婦飲食調養</v>
      </c>
      <c r="F969" s="7" t="s">
        <v>3368</v>
      </c>
      <c r="G969" s="7" t="str">
        <f>T("人民軍醫")</f>
        <v>人民軍醫</v>
      </c>
      <c r="H969" s="7" t="str">
        <f>T("")</f>
        <v/>
      </c>
      <c r="I969" s="7">
        <v>30</v>
      </c>
      <c r="J969" s="7">
        <v>180</v>
      </c>
      <c r="K969" s="9" t="s">
        <v>260</v>
      </c>
    </row>
    <row r="970" spans="1:11" x14ac:dyDescent="0.25">
      <c r="A970" s="5">
        <v>960</v>
      </c>
      <c r="B970" s="5">
        <v>17</v>
      </c>
      <c r="C970" s="10" t="s">
        <v>50</v>
      </c>
      <c r="D970" s="7" t="s">
        <v>2273</v>
      </c>
      <c r="E970" s="8" t="str">
        <f>T("醫學心理學-第2版")</f>
        <v>醫學心理學-第2版</v>
      </c>
      <c r="F970" s="7" t="s">
        <v>3369</v>
      </c>
      <c r="G970" s="7" t="str">
        <f>T("人民軍醫")</f>
        <v>人民軍醫</v>
      </c>
      <c r="H970" s="7" t="str">
        <f>T("20090601")</f>
        <v>20090601</v>
      </c>
      <c r="I970" s="7">
        <v>298</v>
      </c>
      <c r="J970" s="7">
        <v>1788</v>
      </c>
      <c r="K970" s="9" t="s">
        <v>260</v>
      </c>
    </row>
    <row r="971" spans="1:11" x14ac:dyDescent="0.25">
      <c r="A971" s="5">
        <v>961</v>
      </c>
      <c r="B971" s="5">
        <v>18</v>
      </c>
      <c r="C971" s="10" t="s">
        <v>461</v>
      </c>
      <c r="D971" s="7" t="s">
        <v>2274</v>
      </c>
      <c r="E971" s="8" t="str">
        <f>T("媽媽寶貝——漂亮孕媽媽")</f>
        <v>媽媽寶貝——漂亮孕媽媽</v>
      </c>
      <c r="F971" s="7" t="s">
        <v>3370</v>
      </c>
      <c r="G971" s="7" t="str">
        <f>T("上海科教")</f>
        <v>上海科教</v>
      </c>
      <c r="H971" s="7" t="str">
        <f>T("20060101")</f>
        <v>20060101</v>
      </c>
      <c r="I971" s="7">
        <v>18</v>
      </c>
      <c r="J971" s="7">
        <v>108</v>
      </c>
      <c r="K971" s="9" t="s">
        <v>1343</v>
      </c>
    </row>
    <row r="972" spans="1:11" x14ac:dyDescent="0.25">
      <c r="A972" s="5">
        <v>962</v>
      </c>
      <c r="B972" s="5">
        <v>19</v>
      </c>
      <c r="C972" s="10" t="s">
        <v>809</v>
      </c>
      <c r="D972" s="7" t="s">
        <v>2275</v>
      </c>
      <c r="E972" s="8" t="str">
        <f>T("全球藥物（復旦─哈佛當代人類學叢書）")</f>
        <v>全球藥物（復旦─哈佛當代人類學叢書）</v>
      </c>
      <c r="F972" s="7" t="s">
        <v>3371</v>
      </c>
      <c r="G972" s="7" t="str">
        <f>T("世紀文景")</f>
        <v>世紀文景</v>
      </c>
      <c r="H972" s="7" t="str">
        <f>T("20091001")</f>
        <v>20091001</v>
      </c>
      <c r="I972" s="7">
        <v>30</v>
      </c>
      <c r="J972" s="7">
        <v>180</v>
      </c>
      <c r="K972" s="9" t="s">
        <v>260</v>
      </c>
    </row>
    <row r="973" spans="1:11" x14ac:dyDescent="0.25">
      <c r="A973" s="5">
        <v>963</v>
      </c>
      <c r="B973" s="5">
        <v>20</v>
      </c>
      <c r="C973" s="10" t="s">
        <v>409</v>
      </c>
      <c r="D973" s="7" t="s">
        <v>2276</v>
      </c>
      <c r="E973" s="8" t="str">
        <f>T("打開醫學之門")</f>
        <v>打開醫學之門</v>
      </c>
      <c r="F973" s="7" t="s">
        <v>3372</v>
      </c>
      <c r="G973" s="7" t="str">
        <f>T("湖南科學")</f>
        <v>湖南科學</v>
      </c>
      <c r="H973" s="7" t="str">
        <f>T("20100401")</f>
        <v>20100401</v>
      </c>
      <c r="I973" s="7">
        <v>20</v>
      </c>
      <c r="J973" s="7">
        <v>120</v>
      </c>
      <c r="K973" s="9" t="s">
        <v>260</v>
      </c>
    </row>
    <row r="974" spans="1:11" x14ac:dyDescent="0.25">
      <c r="A974" s="5">
        <v>964</v>
      </c>
      <c r="B974" s="5">
        <v>21</v>
      </c>
      <c r="C974" s="10" t="s">
        <v>668</v>
      </c>
      <c r="D974" s="7" t="s">
        <v>2277</v>
      </c>
      <c r="E974" s="8" t="str">
        <f>T("精神焦慮症的自救-演講訪談卷")</f>
        <v>精神焦慮症的自救-演講訪談卷</v>
      </c>
      <c r="F974" s="7" t="s">
        <v>1962</v>
      </c>
      <c r="G974" s="7" t="str">
        <f>T("新疆青少年")</f>
        <v>新疆青少年</v>
      </c>
      <c r="H974" s="7" t="str">
        <f>T("20080101")</f>
        <v>20080101</v>
      </c>
      <c r="I974" s="7">
        <v>15</v>
      </c>
      <c r="J974" s="7">
        <v>90</v>
      </c>
      <c r="K974" s="9" t="s">
        <v>260</v>
      </c>
    </row>
    <row r="975" spans="1:11" x14ac:dyDescent="0.25">
      <c r="A975" s="5">
        <v>965</v>
      </c>
      <c r="B975" s="5">
        <v>22</v>
      </c>
      <c r="C975" s="10" t="s">
        <v>670</v>
      </c>
      <c r="D975" s="7" t="s">
        <v>2278</v>
      </c>
      <c r="E975" s="8" t="str">
        <f>T("中國古代文化全閱讀 第一輯22：茶經")</f>
        <v>中國古代文化全閱讀 第一輯22：茶經</v>
      </c>
      <c r="F975" s="7" t="s">
        <v>3373</v>
      </c>
      <c r="G975" s="7" t="str">
        <f>T("時代文藝")</f>
        <v>時代文藝</v>
      </c>
      <c r="H975" s="7" t="str">
        <f>T("20080701")</f>
        <v>20080701</v>
      </c>
      <c r="I975" s="7">
        <v>18.5</v>
      </c>
      <c r="J975" s="7">
        <v>111</v>
      </c>
      <c r="K975" s="9" t="s">
        <v>1343</v>
      </c>
    </row>
    <row r="976" spans="1:11" x14ac:dyDescent="0.25">
      <c r="A976" s="5">
        <v>966</v>
      </c>
      <c r="B976" s="5">
        <v>23</v>
      </c>
      <c r="C976" s="10" t="s">
        <v>673</v>
      </c>
      <c r="D976" s="7" t="s">
        <v>2279</v>
      </c>
      <c r="E976" s="8" t="str">
        <f>T("孕產婦嬰幼兒飲食與健康百科")</f>
        <v>孕產婦嬰幼兒飲食與健康百科</v>
      </c>
      <c r="F976" s="7" t="s">
        <v>3374</v>
      </c>
      <c r="G976" s="7" t="str">
        <f>T("黑科技")</f>
        <v>黑科技</v>
      </c>
      <c r="H976" s="7" t="str">
        <f>T("")</f>
        <v/>
      </c>
      <c r="I976" s="7">
        <v>28</v>
      </c>
      <c r="J976" s="7">
        <v>168</v>
      </c>
      <c r="K976" s="9" t="s">
        <v>260</v>
      </c>
    </row>
    <row r="977" spans="1:11" x14ac:dyDescent="0.25">
      <c r="A977" s="5">
        <v>967</v>
      </c>
      <c r="B977" s="5">
        <v>24</v>
      </c>
      <c r="C977" s="10" t="s">
        <v>819</v>
      </c>
      <c r="D977" s="7" t="s">
        <v>2280</v>
      </c>
      <c r="E977" s="8" t="str">
        <f>T("安胎養胎飲食調養")</f>
        <v>安胎養胎飲食調養</v>
      </c>
      <c r="F977" s="7" t="s">
        <v>3375</v>
      </c>
      <c r="G977" s="7" t="str">
        <f>T("天津科譯")</f>
        <v>天津科譯</v>
      </c>
      <c r="H977" s="7" t="str">
        <f>T("")</f>
        <v/>
      </c>
      <c r="I977" s="7">
        <v>18</v>
      </c>
      <c r="J977" s="7">
        <v>108</v>
      </c>
      <c r="K977" s="9" t="s">
        <v>260</v>
      </c>
    </row>
    <row r="978" spans="1:11" x14ac:dyDescent="0.25">
      <c r="A978" s="5">
        <v>968</v>
      </c>
      <c r="B978" s="5">
        <v>25</v>
      </c>
      <c r="C978" s="10" t="s">
        <v>1214</v>
      </c>
      <c r="D978" s="7" t="s">
        <v>2281</v>
      </c>
      <c r="E978" s="8" t="str">
        <f>T("中華酒典(上中下)")</f>
        <v>中華酒典(上中下)</v>
      </c>
      <c r="F978" s="7" t="s">
        <v>3009</v>
      </c>
      <c r="G978" s="7" t="str">
        <f>T("中國書店")</f>
        <v>中國書店</v>
      </c>
      <c r="H978" s="7" t="str">
        <f>T("20100101")</f>
        <v>20100101</v>
      </c>
      <c r="I978" s="7">
        <v>485</v>
      </c>
      <c r="J978" s="7">
        <v>2910</v>
      </c>
      <c r="K978" s="9" t="s">
        <v>260</v>
      </c>
    </row>
    <row r="979" spans="1:11" x14ac:dyDescent="0.25">
      <c r="A979" s="5">
        <v>969</v>
      </c>
      <c r="B979" s="5">
        <v>26</v>
      </c>
      <c r="C979" s="10" t="s">
        <v>1239</v>
      </c>
      <c r="D979" s="7" t="s">
        <v>2282</v>
      </c>
      <c r="E979" s="8" t="str">
        <f>T("4.8家庭飲食計劃之母子食方-孕期營養餐")</f>
        <v>4.8家庭飲食計劃之母子食方-孕期營養餐</v>
      </c>
      <c r="F979" s="7" t="s">
        <v>1312</v>
      </c>
      <c r="G979" s="7" t="str">
        <f>T("珠海")</f>
        <v>珠海</v>
      </c>
      <c r="H979" s="7" t="str">
        <f>T("")</f>
        <v/>
      </c>
      <c r="I979" s="7">
        <v>4.8</v>
      </c>
      <c r="J979" s="7">
        <v>29</v>
      </c>
      <c r="K979" s="9" t="s">
        <v>1343</v>
      </c>
    </row>
    <row r="980" spans="1:11" x14ac:dyDescent="0.25">
      <c r="A980" s="5">
        <v>970</v>
      </c>
      <c r="B980" s="5">
        <v>27</v>
      </c>
      <c r="C980" s="10" t="s">
        <v>1240</v>
      </c>
      <c r="D980" s="7" t="s">
        <v>2282</v>
      </c>
      <c r="E980" s="8" t="str">
        <f>T("4.8家庭飲食計劃之母子食方-嬰兒營養餐")</f>
        <v>4.8家庭飲食計劃之母子食方-嬰兒營養餐</v>
      </c>
      <c r="F980" s="7" t="s">
        <v>1312</v>
      </c>
      <c r="G980" s="7" t="str">
        <f>T("珠海")</f>
        <v>珠海</v>
      </c>
      <c r="H980" s="7" t="str">
        <f>T("")</f>
        <v/>
      </c>
      <c r="I980" s="7">
        <v>4.8</v>
      </c>
      <c r="J980" s="7">
        <v>29</v>
      </c>
      <c r="K980" s="9" t="s">
        <v>1343</v>
      </c>
    </row>
    <row r="981" spans="1:11" x14ac:dyDescent="0.25">
      <c r="A981" s="19" t="s">
        <v>1344</v>
      </c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5">
        <v>971</v>
      </c>
      <c r="B982" s="5">
        <v>1</v>
      </c>
      <c r="C982" s="10" t="s">
        <v>988</v>
      </c>
      <c r="D982" s="7" t="s">
        <v>2283</v>
      </c>
      <c r="E982" s="8" t="str">
        <f>T("蕭瑟悉尼")</f>
        <v>蕭瑟悉尼</v>
      </c>
      <c r="F982" s="7" t="s">
        <v>3376</v>
      </c>
      <c r="G982" s="7" t="str">
        <f t="shared" ref="G982:G999" si="46">T("人民文學")</f>
        <v>人民文學</v>
      </c>
      <c r="H982" s="7" t="str">
        <f>T("20010301")</f>
        <v>20010301</v>
      </c>
      <c r="I982" s="7">
        <v>14</v>
      </c>
      <c r="J982" s="7">
        <v>84</v>
      </c>
      <c r="K982" s="9" t="s">
        <v>1345</v>
      </c>
    </row>
    <row r="983" spans="1:11" x14ac:dyDescent="0.25">
      <c r="A983" s="5">
        <v>972</v>
      </c>
      <c r="B983" s="5">
        <v>2</v>
      </c>
      <c r="C983" s="10" t="s">
        <v>1062</v>
      </c>
      <c r="D983" s="7" t="s">
        <v>2284</v>
      </c>
      <c r="E983" s="8" t="str">
        <f>T("飛向人馬座")</f>
        <v>飛向人馬座</v>
      </c>
      <c r="F983" s="7" t="s">
        <v>3377</v>
      </c>
      <c r="G983" s="7" t="str">
        <f t="shared" si="46"/>
        <v>人民文學</v>
      </c>
      <c r="H983" s="7" t="str">
        <f>T("20050101")</f>
        <v>20050101</v>
      </c>
      <c r="I983" s="7">
        <v>15</v>
      </c>
      <c r="J983" s="7">
        <v>90</v>
      </c>
      <c r="K983" s="9" t="s">
        <v>111</v>
      </c>
    </row>
    <row r="984" spans="1:11" x14ac:dyDescent="0.25">
      <c r="A984" s="5">
        <v>973</v>
      </c>
      <c r="B984" s="5">
        <v>3</v>
      </c>
      <c r="C984" s="10" t="s">
        <v>1063</v>
      </c>
      <c r="D984" s="7" t="s">
        <v>2285</v>
      </c>
      <c r="E984" s="8" t="str">
        <f>T("飛出地球去")</f>
        <v>飛出地球去</v>
      </c>
      <c r="F984" s="7" t="s">
        <v>3377</v>
      </c>
      <c r="G984" s="7" t="str">
        <f t="shared" si="46"/>
        <v>人民文學</v>
      </c>
      <c r="H984" s="7" t="str">
        <f>T("20050101")</f>
        <v>20050101</v>
      </c>
      <c r="I984" s="7">
        <v>14</v>
      </c>
      <c r="J984" s="7">
        <v>84</v>
      </c>
      <c r="K984" s="9" t="s">
        <v>111</v>
      </c>
    </row>
    <row r="985" spans="1:11" x14ac:dyDescent="0.25">
      <c r="A985" s="5">
        <v>974</v>
      </c>
      <c r="B985" s="5">
        <v>4</v>
      </c>
      <c r="C985" s="10" t="s">
        <v>1064</v>
      </c>
      <c r="D985" s="7" t="s">
        <v>2286</v>
      </c>
      <c r="E985" s="8" t="str">
        <f>T("你知道我在等你嗎")</f>
        <v>你知道我在等你嗎</v>
      </c>
      <c r="F985" s="7" t="s">
        <v>2889</v>
      </c>
      <c r="G985" s="7" t="str">
        <f t="shared" si="46"/>
        <v>人民文學</v>
      </c>
      <c r="H985" s="7" t="str">
        <f>T("20040301")</f>
        <v>20040301</v>
      </c>
      <c r="I985" s="7">
        <v>19</v>
      </c>
      <c r="J985" s="7">
        <v>114</v>
      </c>
      <c r="K985" s="9" t="s">
        <v>1345</v>
      </c>
    </row>
    <row r="986" spans="1:11" x14ac:dyDescent="0.25">
      <c r="A986" s="5">
        <v>975</v>
      </c>
      <c r="B986" s="5">
        <v>5</v>
      </c>
      <c r="C986" s="10" t="s">
        <v>989</v>
      </c>
      <c r="D986" s="7" t="s">
        <v>2287</v>
      </c>
      <c r="E986" s="8" t="str">
        <f>T("我是太陽")</f>
        <v>我是太陽</v>
      </c>
      <c r="F986" s="7" t="s">
        <v>3378</v>
      </c>
      <c r="G986" s="7" t="str">
        <f t="shared" si="46"/>
        <v>人民文學</v>
      </c>
      <c r="H986" s="7" t="str">
        <f>T("19970201")</f>
        <v>19970201</v>
      </c>
      <c r="I986" s="7">
        <v>26</v>
      </c>
      <c r="J986" s="7">
        <v>156</v>
      </c>
      <c r="K986" s="9" t="s">
        <v>1345</v>
      </c>
    </row>
    <row r="987" spans="1:11" x14ac:dyDescent="0.25">
      <c r="A987" s="5">
        <v>976</v>
      </c>
      <c r="B987" s="5">
        <v>6</v>
      </c>
      <c r="C987" s="10" t="s">
        <v>881</v>
      </c>
      <c r="D987" s="7" t="s">
        <v>2288</v>
      </c>
      <c r="E987" s="8" t="str">
        <f>T("上塘書")</f>
        <v>上塘書</v>
      </c>
      <c r="F987" s="7" t="s">
        <v>3379</v>
      </c>
      <c r="G987" s="7" t="str">
        <f t="shared" si="46"/>
        <v>人民文學</v>
      </c>
      <c r="H987" s="7" t="str">
        <f>T("20040701")</f>
        <v>20040701</v>
      </c>
      <c r="I987" s="7">
        <v>24</v>
      </c>
      <c r="J987" s="7">
        <v>144</v>
      </c>
      <c r="K987" s="9" t="s">
        <v>1345</v>
      </c>
    </row>
    <row r="988" spans="1:11" x14ac:dyDescent="0.25">
      <c r="A988" s="5">
        <v>977</v>
      </c>
      <c r="B988" s="5">
        <v>7</v>
      </c>
      <c r="C988" s="10" t="s">
        <v>882</v>
      </c>
      <c r="D988" s="7" t="s">
        <v>2289</v>
      </c>
      <c r="E988" s="8" t="str">
        <f>T("七個人的背叛")</f>
        <v>七個人的背叛</v>
      </c>
      <c r="F988" s="7" t="s">
        <v>3380</v>
      </c>
      <c r="G988" s="7" t="str">
        <f t="shared" si="46"/>
        <v>人民文學</v>
      </c>
      <c r="H988" s="7" t="str">
        <f>T("20040901")</f>
        <v>20040901</v>
      </c>
      <c r="I988" s="7">
        <v>20</v>
      </c>
      <c r="J988" s="7">
        <v>120</v>
      </c>
      <c r="K988" s="9" t="s">
        <v>1345</v>
      </c>
    </row>
    <row r="989" spans="1:11" x14ac:dyDescent="0.25">
      <c r="A989" s="5">
        <v>978</v>
      </c>
      <c r="B989" s="5">
        <v>8</v>
      </c>
      <c r="C989" s="10" t="s">
        <v>883</v>
      </c>
      <c r="D989" s="7" t="s">
        <v>2290</v>
      </c>
      <c r="E989" s="8" t="str">
        <f>T("2005文學評論.21世紀年度文學評論選")</f>
        <v>2005文學評論.21世紀年度文學評論選</v>
      </c>
      <c r="F989" s="7" t="s">
        <v>2616</v>
      </c>
      <c r="G989" s="7" t="str">
        <f t="shared" si="46"/>
        <v>人民文學</v>
      </c>
      <c r="H989" s="7" t="str">
        <f>T("20060101")</f>
        <v>20060101</v>
      </c>
      <c r="I989" s="7">
        <v>29</v>
      </c>
      <c r="J989" s="7">
        <v>174</v>
      </c>
      <c r="K989" s="9" t="s">
        <v>111</v>
      </c>
    </row>
    <row r="990" spans="1:11" x14ac:dyDescent="0.25">
      <c r="A990" s="5">
        <v>979</v>
      </c>
      <c r="B990" s="5">
        <v>9</v>
      </c>
      <c r="C990" s="10" t="s">
        <v>884</v>
      </c>
      <c r="D990" s="7" t="s">
        <v>2291</v>
      </c>
      <c r="E990" s="8" t="str">
        <f>T("河流如血")</f>
        <v>河流如血</v>
      </c>
      <c r="F990" s="7" t="s">
        <v>3381</v>
      </c>
      <c r="G990" s="7" t="str">
        <f t="shared" si="46"/>
        <v>人民文學</v>
      </c>
      <c r="H990" s="7" t="str">
        <f>T("20040701")</f>
        <v>20040701</v>
      </c>
      <c r="I990" s="7">
        <v>25</v>
      </c>
      <c r="J990" s="7">
        <v>150</v>
      </c>
      <c r="K990" s="9" t="s">
        <v>1345</v>
      </c>
    </row>
    <row r="991" spans="1:11" x14ac:dyDescent="0.25">
      <c r="A991" s="5">
        <v>980</v>
      </c>
      <c r="B991" s="5">
        <v>10</v>
      </c>
      <c r="C991" s="10" t="s">
        <v>885</v>
      </c>
      <c r="D991" s="7" t="s">
        <v>2292</v>
      </c>
      <c r="E991" s="8" t="str">
        <f>T("曳著太陽飛")</f>
        <v>曳著太陽飛</v>
      </c>
      <c r="F991" s="7" t="s">
        <v>3382</v>
      </c>
      <c r="G991" s="7" t="str">
        <f t="shared" si="46"/>
        <v>人民文學</v>
      </c>
      <c r="H991" s="7" t="str">
        <f>T("")</f>
        <v/>
      </c>
      <c r="I991" s="7">
        <v>20</v>
      </c>
      <c r="J991" s="7">
        <v>120</v>
      </c>
      <c r="K991" s="9" t="s">
        <v>111</v>
      </c>
    </row>
    <row r="992" spans="1:11" x14ac:dyDescent="0.25">
      <c r="A992" s="5">
        <v>981</v>
      </c>
      <c r="B992" s="5">
        <v>11</v>
      </c>
      <c r="C992" s="10" t="s">
        <v>777</v>
      </c>
      <c r="D992" s="7" t="s">
        <v>2293</v>
      </c>
      <c r="E992" s="8" t="str">
        <f>T("揚眉劍出鞘")</f>
        <v>揚眉劍出鞘</v>
      </c>
      <c r="F992" s="7" t="s">
        <v>3383</v>
      </c>
      <c r="G992" s="7" t="str">
        <f t="shared" si="46"/>
        <v>人民文學</v>
      </c>
      <c r="H992" s="7" t="str">
        <f>T("20050501")</f>
        <v>20050501</v>
      </c>
      <c r="I992" s="7">
        <v>29</v>
      </c>
      <c r="J992" s="7">
        <v>174</v>
      </c>
      <c r="K992" s="9" t="s">
        <v>111</v>
      </c>
    </row>
    <row r="993" spans="1:11" x14ac:dyDescent="0.25">
      <c r="A993" s="5">
        <v>982</v>
      </c>
      <c r="B993" s="5">
        <v>12</v>
      </c>
      <c r="C993" s="10" t="s">
        <v>778</v>
      </c>
      <c r="D993" s="7" t="s">
        <v>2294</v>
      </c>
      <c r="E993" s="8" t="str">
        <f>T("中國的眸子")</f>
        <v>中國的眸子</v>
      </c>
      <c r="F993" s="7" t="s">
        <v>3384</v>
      </c>
      <c r="G993" s="7" t="str">
        <f t="shared" si="46"/>
        <v>人民文學</v>
      </c>
      <c r="H993" s="7" t="str">
        <f>T("20060501")</f>
        <v>20060501</v>
      </c>
      <c r="I993" s="7">
        <v>32</v>
      </c>
      <c r="J993" s="7">
        <v>192</v>
      </c>
      <c r="K993" s="9" t="s">
        <v>111</v>
      </c>
    </row>
    <row r="994" spans="1:11" x14ac:dyDescent="0.25">
      <c r="A994" s="5">
        <v>983</v>
      </c>
      <c r="B994" s="5">
        <v>13</v>
      </c>
      <c r="C994" s="10" t="s">
        <v>779</v>
      </c>
      <c r="D994" s="7" t="s">
        <v>2295</v>
      </c>
      <c r="E994" s="8" t="str">
        <f>T("馬家軍調查")</f>
        <v>馬家軍調查</v>
      </c>
      <c r="F994" s="7" t="s">
        <v>3385</v>
      </c>
      <c r="G994" s="7" t="str">
        <f t="shared" si="46"/>
        <v>人民文學</v>
      </c>
      <c r="H994" s="7" t="str">
        <f>T("20050501")</f>
        <v>20050501</v>
      </c>
      <c r="I994" s="7">
        <v>32</v>
      </c>
      <c r="J994" s="7">
        <v>192</v>
      </c>
      <c r="K994" s="9" t="s">
        <v>111</v>
      </c>
    </row>
    <row r="995" spans="1:11" x14ac:dyDescent="0.25">
      <c r="A995" s="5">
        <v>984</v>
      </c>
      <c r="B995" s="5">
        <v>14</v>
      </c>
      <c r="C995" s="10" t="s">
        <v>780</v>
      </c>
      <c r="D995" s="7" t="s">
        <v>2296</v>
      </c>
      <c r="E995" s="8" t="str">
        <f>T("奇異的書簡")</f>
        <v>奇異的書簡</v>
      </c>
      <c r="F995" s="7" t="s">
        <v>3386</v>
      </c>
      <c r="G995" s="7" t="str">
        <f t="shared" si="46"/>
        <v>人民文學</v>
      </c>
      <c r="H995" s="7" t="str">
        <f>T("20050501")</f>
        <v>20050501</v>
      </c>
      <c r="I995" s="7">
        <v>33</v>
      </c>
      <c r="J995" s="7">
        <v>198</v>
      </c>
      <c r="K995" s="9" t="s">
        <v>111</v>
      </c>
    </row>
    <row r="996" spans="1:11" x14ac:dyDescent="0.25">
      <c r="A996" s="5">
        <v>985</v>
      </c>
      <c r="B996" s="5">
        <v>15</v>
      </c>
      <c r="C996" s="10" t="s">
        <v>781</v>
      </c>
      <c r="D996" s="7" t="s">
        <v>2297</v>
      </c>
      <c r="E996" s="8" t="str">
        <f>T("根本利益")</f>
        <v>根本利益</v>
      </c>
      <c r="F996" s="7" t="s">
        <v>3387</v>
      </c>
      <c r="G996" s="7" t="str">
        <f t="shared" si="46"/>
        <v>人民文學</v>
      </c>
      <c r="H996" s="7" t="str">
        <f>T("20050501")</f>
        <v>20050501</v>
      </c>
      <c r="I996" s="7">
        <v>28</v>
      </c>
      <c r="J996" s="7">
        <v>162</v>
      </c>
      <c r="K996" s="9" t="s">
        <v>111</v>
      </c>
    </row>
    <row r="997" spans="1:11" x14ac:dyDescent="0.25">
      <c r="A997" s="5">
        <v>986</v>
      </c>
      <c r="B997" s="5">
        <v>16</v>
      </c>
      <c r="C997" s="10" t="s">
        <v>782</v>
      </c>
      <c r="D997" s="7" t="s">
        <v>2298</v>
      </c>
      <c r="E997" s="8" t="str">
        <f>T("淮河的警告")</f>
        <v>淮河的警告</v>
      </c>
      <c r="F997" s="7" t="s">
        <v>3388</v>
      </c>
      <c r="G997" s="7" t="str">
        <f t="shared" si="46"/>
        <v>人民文學</v>
      </c>
      <c r="H997" s="7" t="str">
        <f>T("20050501")</f>
        <v>20050501</v>
      </c>
      <c r="I997" s="7">
        <v>30</v>
      </c>
      <c r="J997" s="7">
        <v>180</v>
      </c>
      <c r="K997" s="9" t="s">
        <v>111</v>
      </c>
    </row>
    <row r="998" spans="1:11" x14ac:dyDescent="0.25">
      <c r="A998" s="5">
        <v>987</v>
      </c>
      <c r="B998" s="5">
        <v>17</v>
      </c>
      <c r="C998" s="10" t="s">
        <v>592</v>
      </c>
      <c r="D998" s="7" t="s">
        <v>2299</v>
      </c>
      <c r="E998" s="8" t="str">
        <f>T("聖天門口（全三冊）")</f>
        <v>聖天門口（全三冊）</v>
      </c>
      <c r="F998" s="7" t="s">
        <v>3389</v>
      </c>
      <c r="G998" s="7" t="str">
        <f t="shared" si="46"/>
        <v>人民文學</v>
      </c>
      <c r="H998" s="7" t="str">
        <f>T("20050501")</f>
        <v>20050501</v>
      </c>
      <c r="I998" s="7">
        <v>65</v>
      </c>
      <c r="J998" s="7">
        <v>390</v>
      </c>
      <c r="K998" s="9" t="s">
        <v>111</v>
      </c>
    </row>
    <row r="999" spans="1:11" x14ac:dyDescent="0.25">
      <c r="A999" s="5">
        <v>988</v>
      </c>
      <c r="B999" s="5">
        <v>18</v>
      </c>
      <c r="C999" s="10" t="s">
        <v>593</v>
      </c>
      <c r="D999" s="7" t="s">
        <v>2300</v>
      </c>
      <c r="E999" s="8" t="str">
        <f>T("空山 2")</f>
        <v>空山 2</v>
      </c>
      <c r="F999" s="7" t="s">
        <v>3390</v>
      </c>
      <c r="G999" s="7" t="str">
        <f t="shared" si="46"/>
        <v>人民文學</v>
      </c>
      <c r="H999" s="7" t="str">
        <f>T("20070101")</f>
        <v>20070101</v>
      </c>
      <c r="I999" s="7">
        <v>21</v>
      </c>
      <c r="J999" s="7">
        <v>126</v>
      </c>
      <c r="K999" s="9" t="s">
        <v>111</v>
      </c>
    </row>
    <row r="1000" spans="1:11" x14ac:dyDescent="0.25">
      <c r="A1000" s="5">
        <v>989</v>
      </c>
      <c r="B1000" s="5">
        <v>19</v>
      </c>
      <c r="C1000" s="10" t="s">
        <v>594</v>
      </c>
      <c r="D1000" s="7" t="s">
        <v>2301</v>
      </c>
      <c r="E1000" s="8" t="str">
        <f>T("所以")</f>
        <v>所以</v>
      </c>
      <c r="F1000" s="7" t="s">
        <v>3391</v>
      </c>
      <c r="G1000" s="7" t="str">
        <f>T("")</f>
        <v/>
      </c>
      <c r="H1000" s="7" t="str">
        <f>T("20070201")</f>
        <v>20070201</v>
      </c>
      <c r="I1000" s="7">
        <v>26</v>
      </c>
      <c r="J1000" s="7">
        <v>156</v>
      </c>
      <c r="K1000" s="9" t="s">
        <v>1345</v>
      </c>
    </row>
    <row r="1001" spans="1:11" x14ac:dyDescent="0.25">
      <c r="A1001" s="5">
        <v>990</v>
      </c>
      <c r="B1001" s="5">
        <v>20</v>
      </c>
      <c r="C1001" s="10" t="s">
        <v>783</v>
      </c>
      <c r="D1001" s="7" t="s">
        <v>2302</v>
      </c>
      <c r="E1001" s="8" t="str">
        <f>T("中國當代文學的藝術探索")</f>
        <v>中國當代文學的藝術探索</v>
      </c>
      <c r="F1001" s="7" t="s">
        <v>3392</v>
      </c>
      <c r="G1001" s="7" t="str">
        <f>T("人民文學")</f>
        <v>人民文學</v>
      </c>
      <c r="H1001" s="7" t="str">
        <f>T("20100801")</f>
        <v>20100801</v>
      </c>
      <c r="I1001" s="7">
        <v>22</v>
      </c>
      <c r="J1001" s="7">
        <v>132</v>
      </c>
      <c r="K1001" s="9" t="s">
        <v>111</v>
      </c>
    </row>
    <row r="1002" spans="1:11" x14ac:dyDescent="0.25">
      <c r="A1002" s="5">
        <v>991</v>
      </c>
      <c r="B1002" s="5">
        <v>21</v>
      </c>
      <c r="C1002" s="10" t="s">
        <v>596</v>
      </c>
      <c r="D1002" s="7" t="s">
        <v>2303</v>
      </c>
      <c r="E1002" s="8" t="str">
        <f>T("多少往煙雨中")</f>
        <v>多少往煙雨中</v>
      </c>
      <c r="F1002" s="7" t="s">
        <v>3393</v>
      </c>
      <c r="G1002" s="7" t="str">
        <f>T("人民文學")</f>
        <v>人民文學</v>
      </c>
      <c r="H1002" s="7" t="str">
        <f>T("20100101")</f>
        <v>20100101</v>
      </c>
      <c r="I1002" s="7">
        <v>30</v>
      </c>
      <c r="J1002" s="7">
        <v>180</v>
      </c>
      <c r="K1002" s="9" t="s">
        <v>111</v>
      </c>
    </row>
    <row r="1003" spans="1:11" x14ac:dyDescent="0.25">
      <c r="A1003" s="5">
        <v>992</v>
      </c>
      <c r="B1003" s="5">
        <v>22</v>
      </c>
      <c r="C1003" s="10" t="s">
        <v>870</v>
      </c>
      <c r="D1003" s="7" t="s">
        <v>2304</v>
      </c>
      <c r="E1003" s="8" t="str">
        <f>T("後西遊記")</f>
        <v>後西遊記</v>
      </c>
      <c r="F1003" s="7" t="s">
        <v>3394</v>
      </c>
      <c r="G1003" s="7" t="str">
        <f>T("民族")</f>
        <v>民族</v>
      </c>
      <c r="H1003" s="7" t="str">
        <f>T("20050201")</f>
        <v>20050201</v>
      </c>
      <c r="I1003" s="7">
        <v>18</v>
      </c>
      <c r="J1003" s="7">
        <v>108</v>
      </c>
      <c r="K1003" s="9" t="s">
        <v>111</v>
      </c>
    </row>
    <row r="1004" spans="1:11" x14ac:dyDescent="0.25">
      <c r="A1004" s="5">
        <v>993</v>
      </c>
      <c r="B1004" s="5">
        <v>23</v>
      </c>
      <c r="C1004" s="10" t="s">
        <v>872</v>
      </c>
      <c r="D1004" s="7" t="s">
        <v>2305</v>
      </c>
      <c r="E1004" s="8" t="str">
        <f>T("吉祥紋蓮花樓--朱雀")</f>
        <v>吉祥紋蓮花樓--朱雀</v>
      </c>
      <c r="F1004" s="7" t="s">
        <v>3395</v>
      </c>
      <c r="G1004" s="7" t="str">
        <f>T("中國電影")</f>
        <v>中國電影</v>
      </c>
      <c r="H1004" s="7" t="str">
        <f>T("20060501")</f>
        <v>20060501</v>
      </c>
      <c r="I1004" s="7">
        <v>18</v>
      </c>
      <c r="J1004" s="7">
        <v>108</v>
      </c>
      <c r="K1004" s="9" t="s">
        <v>111</v>
      </c>
    </row>
    <row r="1005" spans="1:11" x14ac:dyDescent="0.25">
      <c r="A1005" s="5">
        <v>994</v>
      </c>
      <c r="B1005" s="5">
        <v>24</v>
      </c>
      <c r="C1005" s="10" t="s">
        <v>873</v>
      </c>
      <c r="D1005" s="7" t="s">
        <v>2306</v>
      </c>
      <c r="E1005" s="8" t="str">
        <f>T("當身體還剩下四分之一時")</f>
        <v>當身體還剩下四分之一時</v>
      </c>
      <c r="F1005" s="7" t="s">
        <v>3396</v>
      </c>
      <c r="G1005" s="7" t="str">
        <f>T("中國電影")</f>
        <v>中國電影</v>
      </c>
      <c r="H1005" s="7" t="str">
        <f>T("20061001")</f>
        <v>20061001</v>
      </c>
      <c r="I1005" s="7">
        <v>20</v>
      </c>
      <c r="J1005" s="7">
        <v>120</v>
      </c>
      <c r="K1005" s="9" t="s">
        <v>111</v>
      </c>
    </row>
    <row r="1006" spans="1:11" x14ac:dyDescent="0.25">
      <c r="A1006" s="5">
        <v>995</v>
      </c>
      <c r="B1006" s="5">
        <v>25</v>
      </c>
      <c r="C1006" s="10" t="s">
        <v>381</v>
      </c>
      <c r="D1006" s="7" t="s">
        <v>2307</v>
      </c>
      <c r="E1006" s="8" t="str">
        <f>T("漫讀經典")</f>
        <v>漫讀經典</v>
      </c>
      <c r="F1006" s="7" t="s">
        <v>3397</v>
      </c>
      <c r="G1006" s="7" t="str">
        <f>T("北京三聯")</f>
        <v>北京三聯</v>
      </c>
      <c r="H1006" s="7" t="str">
        <f>T("20080701")</f>
        <v>20080701</v>
      </c>
      <c r="I1006" s="7">
        <v>22</v>
      </c>
      <c r="J1006" s="7">
        <v>132</v>
      </c>
      <c r="K1006" s="9" t="s">
        <v>111</v>
      </c>
    </row>
    <row r="1007" spans="1:11" x14ac:dyDescent="0.25">
      <c r="A1007" s="5">
        <v>996</v>
      </c>
      <c r="B1007" s="5">
        <v>26</v>
      </c>
      <c r="C1007" s="10" t="s">
        <v>488</v>
      </c>
      <c r="D1007" s="7" t="s">
        <v>2308</v>
      </c>
      <c r="E1007" s="8" t="str">
        <f>T("黃帶子")</f>
        <v>黃帶子</v>
      </c>
      <c r="F1007" s="7" t="s">
        <v>3398</v>
      </c>
      <c r="G1007" s="7" t="str">
        <f>T("中國鐵道")</f>
        <v>中國鐵道</v>
      </c>
      <c r="H1007" s="7" t="str">
        <f>T("20080701")</f>
        <v>20080701</v>
      </c>
      <c r="I1007" s="7">
        <v>38</v>
      </c>
      <c r="J1007" s="7">
        <v>228</v>
      </c>
      <c r="K1007" s="9" t="s">
        <v>111</v>
      </c>
    </row>
    <row r="1008" spans="1:11" x14ac:dyDescent="0.25">
      <c r="A1008" s="5">
        <v>997</v>
      </c>
      <c r="B1008" s="5">
        <v>27</v>
      </c>
      <c r="C1008" s="10" t="s">
        <v>853</v>
      </c>
      <c r="D1008" s="7" t="s">
        <v>2309</v>
      </c>
      <c r="E1008" s="8" t="str">
        <f>T("王剛講故事-肆輯")</f>
        <v>王剛講故事-肆輯</v>
      </c>
      <c r="F1008" s="7" t="s">
        <v>1312</v>
      </c>
      <c r="G1008" s="7" t="str">
        <f>T("遼寧人民")</f>
        <v>遼寧人民</v>
      </c>
      <c r="H1008" s="7" t="str">
        <f>T("20100101")</f>
        <v>20100101</v>
      </c>
      <c r="I1008" s="7">
        <v>10</v>
      </c>
      <c r="J1008" s="7">
        <v>60</v>
      </c>
      <c r="K1008" s="9" t="s">
        <v>1345</v>
      </c>
    </row>
    <row r="1009" spans="1:11" x14ac:dyDescent="0.25">
      <c r="A1009" s="5">
        <v>998</v>
      </c>
      <c r="B1009" s="5">
        <v>28</v>
      </c>
      <c r="C1009" s="10" t="s">
        <v>329</v>
      </c>
      <c r="D1009" s="7" t="s">
        <v>2310</v>
      </c>
      <c r="E1009" s="8" t="str">
        <f>T("上海日記")</f>
        <v>上海日記</v>
      </c>
      <c r="F1009" s="7" t="s">
        <v>3399</v>
      </c>
      <c r="G1009" s="7" t="str">
        <f>T("上海人民")</f>
        <v>上海人民</v>
      </c>
      <c r="H1009" s="7" t="str">
        <f>T("20070101")</f>
        <v>20070101</v>
      </c>
      <c r="I1009" s="7">
        <v>25</v>
      </c>
      <c r="J1009" s="7">
        <v>150</v>
      </c>
      <c r="K1009" s="9" t="s">
        <v>111</v>
      </c>
    </row>
    <row r="1010" spans="1:11" x14ac:dyDescent="0.25">
      <c r="A1010" s="5">
        <v>999</v>
      </c>
      <c r="B1010" s="5">
        <v>29</v>
      </c>
      <c r="C1010" s="10" t="s">
        <v>575</v>
      </c>
      <c r="D1010" s="7" t="s">
        <v>2311</v>
      </c>
      <c r="E1010" s="8" t="str">
        <f>T("被誇大的使命（吳曉波著）")</f>
        <v>被誇大的使命（吳曉波著）</v>
      </c>
      <c r="F1010" s="7" t="s">
        <v>1962</v>
      </c>
      <c r="G1010" s="7" t="str">
        <f>T("浙江人民")</f>
        <v>浙江人民</v>
      </c>
      <c r="H1010" s="7" t="str">
        <f>T("20040101")</f>
        <v>20040101</v>
      </c>
      <c r="I1010" s="7">
        <v>16</v>
      </c>
      <c r="J1010" s="7">
        <v>96</v>
      </c>
      <c r="K1010" s="9" t="s">
        <v>1345</v>
      </c>
    </row>
    <row r="1011" spans="1:11" x14ac:dyDescent="0.25">
      <c r="A1011" s="5">
        <v>1000</v>
      </c>
      <c r="B1011" s="5">
        <v>30</v>
      </c>
      <c r="C1011" s="10" t="s">
        <v>307</v>
      </c>
      <c r="D1011" s="7" t="s">
        <v>2312</v>
      </c>
      <c r="E1011" s="8" t="str">
        <f>T("戰爭記憶")</f>
        <v>戰爭記憶</v>
      </c>
      <c r="F1011" s="7" t="s">
        <v>3400</v>
      </c>
      <c r="G1011" s="7" t="str">
        <f>T("重慶")</f>
        <v>重慶</v>
      </c>
      <c r="H1011" s="7" t="str">
        <f>T("20100101")</f>
        <v>20100101</v>
      </c>
      <c r="I1011" s="7">
        <v>25</v>
      </c>
      <c r="J1011" s="7">
        <v>150</v>
      </c>
      <c r="K1011" s="9" t="s">
        <v>111</v>
      </c>
    </row>
    <row r="1012" spans="1:11" x14ac:dyDescent="0.25">
      <c r="A1012" s="5">
        <v>1001</v>
      </c>
      <c r="B1012" s="5">
        <v>31</v>
      </c>
      <c r="C1012" s="10" t="s">
        <v>840</v>
      </c>
      <c r="D1012" s="7" t="s">
        <v>2313</v>
      </c>
      <c r="E1012" s="8" t="str">
        <f>T("文學的維度")</f>
        <v>文學的維度</v>
      </c>
      <c r="F1012" s="7" t="s">
        <v>3380</v>
      </c>
      <c r="G1012" s="7" t="str">
        <f>T("中國人大")</f>
        <v>中國人大</v>
      </c>
      <c r="H1012" s="7" t="str">
        <f>T("20091101")</f>
        <v>20091101</v>
      </c>
      <c r="I1012" s="7">
        <v>39.799999999999997</v>
      </c>
      <c r="J1012" s="7">
        <v>239</v>
      </c>
      <c r="K1012" s="9" t="s">
        <v>1345</v>
      </c>
    </row>
    <row r="1013" spans="1:11" x14ac:dyDescent="0.25">
      <c r="A1013" s="5">
        <v>1002</v>
      </c>
      <c r="B1013" s="5">
        <v>32</v>
      </c>
      <c r="C1013" s="10" t="s">
        <v>842</v>
      </c>
      <c r="D1013" s="7" t="s">
        <v>2314</v>
      </c>
      <c r="E1013" s="8" t="str">
        <f>T("新世紀的太陽-二十世紀中國詩潮")</f>
        <v>新世紀的太陽-二十世紀中國詩潮</v>
      </c>
      <c r="F1013" s="7" t="s">
        <v>2741</v>
      </c>
      <c r="G1013" s="7" t="str">
        <f>T("中國人大")</f>
        <v>中國人大</v>
      </c>
      <c r="H1013" s="7" t="str">
        <f>T("20091101")</f>
        <v>20091101</v>
      </c>
      <c r="I1013" s="7">
        <v>32</v>
      </c>
      <c r="J1013" s="7">
        <v>192</v>
      </c>
      <c r="K1013" s="9" t="s">
        <v>1345</v>
      </c>
    </row>
    <row r="1014" spans="1:11" x14ac:dyDescent="0.25">
      <c r="A1014" s="5">
        <v>1003</v>
      </c>
      <c r="B1014" s="5">
        <v>33</v>
      </c>
      <c r="C1014" s="10" t="s">
        <v>199</v>
      </c>
      <c r="D1014" s="7" t="s">
        <v>2315</v>
      </c>
      <c r="E1014" s="8" t="str">
        <f>T("現代中國.第七輯")</f>
        <v>現代中國.第七輯</v>
      </c>
      <c r="F1014" s="7" t="s">
        <v>2755</v>
      </c>
      <c r="G1014" s="7" t="str">
        <f t="shared" ref="G1014:G1033" si="47">T("北京大學")</f>
        <v>北京大學</v>
      </c>
      <c r="H1014" s="7" t="str">
        <f>T("20060601")</f>
        <v>20060601</v>
      </c>
      <c r="I1014" s="7">
        <v>32</v>
      </c>
      <c r="J1014" s="7">
        <v>192</v>
      </c>
      <c r="K1014" s="9" t="s">
        <v>1345</v>
      </c>
    </row>
    <row r="1015" spans="1:11" x14ac:dyDescent="0.25">
      <c r="A1015" s="5">
        <v>1004</v>
      </c>
      <c r="B1015" s="5">
        <v>34</v>
      </c>
      <c r="C1015" s="10" t="s">
        <v>327</v>
      </c>
      <c r="D1015" s="7" t="s">
        <v>2316</v>
      </c>
      <c r="E1015" s="8" t="str">
        <f>T("《亨利·亞當斯的教育》新論")</f>
        <v>《亨利·亞當斯的教育》新論</v>
      </c>
      <c r="F1015" s="7" t="s">
        <v>3401</v>
      </c>
      <c r="G1015" s="7" t="str">
        <f t="shared" si="47"/>
        <v>北京大學</v>
      </c>
      <c r="H1015" s="7" t="str">
        <f t="shared" ref="H1015:H1028" si="48">T("20070101")</f>
        <v>20070101</v>
      </c>
      <c r="I1015" s="7">
        <v>22</v>
      </c>
      <c r="J1015" s="7">
        <v>132</v>
      </c>
      <c r="K1015" s="9" t="s">
        <v>1345</v>
      </c>
    </row>
    <row r="1016" spans="1:11" x14ac:dyDescent="0.25">
      <c r="A1016" s="5">
        <v>1005</v>
      </c>
      <c r="B1016" s="5">
        <v>35</v>
      </c>
      <c r="C1016" s="10" t="s">
        <v>204</v>
      </c>
      <c r="D1016" s="7" t="s">
        <v>2317</v>
      </c>
      <c r="E1016" s="8" t="str">
        <f>T("《所羅門之歌》新論")</f>
        <v>《所羅門之歌》新論</v>
      </c>
      <c r="F1016" s="7" t="s">
        <v>3402</v>
      </c>
      <c r="G1016" s="7" t="str">
        <f t="shared" si="47"/>
        <v>北京大學</v>
      </c>
      <c r="H1016" s="7" t="str">
        <f t="shared" si="48"/>
        <v>20070101</v>
      </c>
      <c r="I1016" s="7">
        <v>20</v>
      </c>
      <c r="J1016" s="7">
        <v>120</v>
      </c>
      <c r="K1016" s="9" t="s">
        <v>1345</v>
      </c>
    </row>
    <row r="1017" spans="1:11" x14ac:dyDescent="0.25">
      <c r="A1017" s="5">
        <v>1006</v>
      </c>
      <c r="B1017" s="5">
        <v>36</v>
      </c>
      <c r="C1017" s="10" t="s">
        <v>205</v>
      </c>
      <c r="D1017" s="7" t="s">
        <v>2318</v>
      </c>
      <c r="E1017" s="8" t="str">
        <f>T("《白噪音》新論")</f>
        <v>《白噪音》新論</v>
      </c>
      <c r="F1017" s="7" t="s">
        <v>3403</v>
      </c>
      <c r="G1017" s="7" t="str">
        <f t="shared" si="47"/>
        <v>北京大學</v>
      </c>
      <c r="H1017" s="7" t="str">
        <f t="shared" si="48"/>
        <v>20070101</v>
      </c>
      <c r="I1017" s="7">
        <v>20</v>
      </c>
      <c r="J1017" s="7">
        <v>120</v>
      </c>
      <c r="K1017" s="9" t="s">
        <v>1345</v>
      </c>
    </row>
    <row r="1018" spans="1:11" x14ac:dyDescent="0.25">
      <c r="A1018" s="5">
        <v>1007</v>
      </c>
      <c r="B1018" s="5">
        <v>37</v>
      </c>
      <c r="C1018" s="10" t="s">
        <v>206</v>
      </c>
      <c r="D1018" s="7" t="s">
        <v>2319</v>
      </c>
      <c r="E1018" s="8" t="str">
        <f>T("《美國人》新論")</f>
        <v>《美國人》新論</v>
      </c>
      <c r="F1018" s="7" t="s">
        <v>3404</v>
      </c>
      <c r="G1018" s="7" t="str">
        <f t="shared" si="47"/>
        <v>北京大學</v>
      </c>
      <c r="H1018" s="7" t="str">
        <f t="shared" si="48"/>
        <v>20070101</v>
      </c>
      <c r="I1018" s="7">
        <v>22</v>
      </c>
      <c r="J1018" s="7">
        <v>132</v>
      </c>
      <c r="K1018" s="9" t="s">
        <v>1345</v>
      </c>
    </row>
    <row r="1019" spans="1:11" x14ac:dyDescent="0.25">
      <c r="A1019" s="5">
        <v>1008</v>
      </c>
      <c r="B1019" s="5">
        <v>38</v>
      </c>
      <c r="C1019" s="10" t="s">
        <v>207</v>
      </c>
      <c r="D1019" s="7" t="s">
        <v>2320</v>
      </c>
      <c r="E1019" s="8" t="str">
        <f>T("《我的安冬尼亞》新論")</f>
        <v>《我的安冬尼亞》新論</v>
      </c>
      <c r="F1019" s="7" t="s">
        <v>3405</v>
      </c>
      <c r="G1019" s="7" t="str">
        <f t="shared" si="47"/>
        <v>北京大學</v>
      </c>
      <c r="H1019" s="7" t="str">
        <f t="shared" si="48"/>
        <v>20070101</v>
      </c>
      <c r="I1019" s="7">
        <v>20</v>
      </c>
      <c r="J1019" s="7">
        <v>120</v>
      </c>
      <c r="K1019" s="9" t="s">
        <v>1345</v>
      </c>
    </row>
    <row r="1020" spans="1:11" x14ac:dyDescent="0.25">
      <c r="A1020" s="5">
        <v>1009</v>
      </c>
      <c r="B1020" s="5">
        <v>39</v>
      </c>
      <c r="C1020" s="10" t="s">
        <v>208</v>
      </c>
      <c r="D1020" s="7" t="s">
        <v>2321</v>
      </c>
      <c r="E1020" s="8" t="str">
        <f>T("《拍賣第49號》新論")</f>
        <v>《拍賣第49號》新論</v>
      </c>
      <c r="F1020" s="7" t="s">
        <v>3406</v>
      </c>
      <c r="G1020" s="7" t="str">
        <f t="shared" si="47"/>
        <v>北京大學</v>
      </c>
      <c r="H1020" s="7" t="str">
        <f t="shared" si="48"/>
        <v>20070101</v>
      </c>
      <c r="I1020" s="7">
        <v>22</v>
      </c>
      <c r="J1020" s="7">
        <v>132</v>
      </c>
      <c r="K1020" s="9" t="s">
        <v>1345</v>
      </c>
    </row>
    <row r="1021" spans="1:11" x14ac:dyDescent="0.25">
      <c r="A1021" s="5">
        <v>1010</v>
      </c>
      <c r="B1021" s="5">
        <v>40</v>
      </c>
      <c r="C1021" s="10" t="s">
        <v>209</v>
      </c>
      <c r="D1021" s="7" t="s">
        <v>2322</v>
      </c>
      <c r="E1021" s="8" t="str">
        <f>T("《向蒼天呼籲》新論")</f>
        <v>《向蒼天呼籲》新論</v>
      </c>
      <c r="F1021" s="7" t="s">
        <v>3407</v>
      </c>
      <c r="G1021" s="7" t="str">
        <f t="shared" si="47"/>
        <v>北京大學</v>
      </c>
      <c r="H1021" s="7" t="str">
        <f t="shared" si="48"/>
        <v>20070101</v>
      </c>
      <c r="I1021" s="7">
        <v>20</v>
      </c>
      <c r="J1021" s="7">
        <v>120</v>
      </c>
      <c r="K1021" s="9" t="s">
        <v>1345</v>
      </c>
    </row>
    <row r="1022" spans="1:11" x14ac:dyDescent="0.25">
      <c r="A1022" s="5">
        <v>1011</v>
      </c>
      <c r="B1022" s="5">
        <v>41</v>
      </c>
      <c r="C1022" s="10" t="s">
        <v>210</v>
      </c>
      <c r="D1022" s="7" t="s">
        <v>2323</v>
      </c>
      <c r="E1022" s="8" t="str">
        <f>T("《豪門春秋》新論")</f>
        <v>《豪門春秋》新論</v>
      </c>
      <c r="F1022" s="7" t="s">
        <v>3408</v>
      </c>
      <c r="G1022" s="7" t="str">
        <f t="shared" si="47"/>
        <v>北京大學</v>
      </c>
      <c r="H1022" s="7" t="str">
        <f t="shared" si="48"/>
        <v>20070101</v>
      </c>
      <c r="I1022" s="7">
        <v>22</v>
      </c>
      <c r="J1022" s="7">
        <v>132</v>
      </c>
      <c r="K1022" s="9" t="s">
        <v>1345</v>
      </c>
    </row>
    <row r="1023" spans="1:11" x14ac:dyDescent="0.25">
      <c r="A1023" s="5">
        <v>1012</v>
      </c>
      <c r="B1023" s="5">
        <v>42</v>
      </c>
      <c r="C1023" s="10" t="s">
        <v>211</v>
      </c>
      <c r="D1023" s="7" t="s">
        <v>2324</v>
      </c>
      <c r="E1023" s="8" t="str">
        <f>T("《小鎮畸人》新論")</f>
        <v>《小鎮畸人》新論</v>
      </c>
      <c r="F1023" s="7" t="s">
        <v>3409</v>
      </c>
      <c r="G1023" s="7" t="str">
        <f t="shared" si="47"/>
        <v>北京大學</v>
      </c>
      <c r="H1023" s="7" t="str">
        <f t="shared" si="48"/>
        <v>20070101</v>
      </c>
      <c r="I1023" s="7">
        <v>20</v>
      </c>
      <c r="J1023" s="7">
        <v>120</v>
      </c>
      <c r="K1023" s="9" t="s">
        <v>1345</v>
      </c>
    </row>
    <row r="1024" spans="1:11" x14ac:dyDescent="0.25">
      <c r="A1024" s="5">
        <v>1013</v>
      </c>
      <c r="B1024" s="5">
        <v>43</v>
      </c>
      <c r="C1024" s="10" t="s">
        <v>212</v>
      </c>
      <c r="D1024" s="7" t="s">
        <v>2325</v>
      </c>
      <c r="E1024" s="8" t="str">
        <f>T("《去吧，摩西》新論")</f>
        <v>《去吧，摩西》新論</v>
      </c>
      <c r="F1024" s="7" t="s">
        <v>3410</v>
      </c>
      <c r="G1024" s="7" t="str">
        <f t="shared" si="47"/>
        <v>北京大學</v>
      </c>
      <c r="H1024" s="7" t="str">
        <f t="shared" si="48"/>
        <v>20070101</v>
      </c>
      <c r="I1024" s="7">
        <v>22</v>
      </c>
      <c r="J1024" s="7">
        <v>132</v>
      </c>
      <c r="K1024" s="9" t="s">
        <v>1345</v>
      </c>
    </row>
    <row r="1025" spans="1:11" x14ac:dyDescent="0.25">
      <c r="A1025" s="5">
        <v>1014</v>
      </c>
      <c r="B1025" s="5">
        <v>44</v>
      </c>
      <c r="C1025" s="10" t="s">
        <v>213</v>
      </c>
      <c r="D1025" s="7" t="s">
        <v>2326</v>
      </c>
      <c r="E1025" s="8" t="str">
        <f>T("《尖樅樹之鄉》新論")</f>
        <v>《尖樅樹之鄉》新論</v>
      </c>
      <c r="F1025" s="7" t="s">
        <v>3411</v>
      </c>
      <c r="G1025" s="7" t="str">
        <f t="shared" si="47"/>
        <v>北京大學</v>
      </c>
      <c r="H1025" s="7" t="str">
        <f t="shared" si="48"/>
        <v>20070101</v>
      </c>
      <c r="I1025" s="7">
        <v>20</v>
      </c>
      <c r="J1025" s="7">
        <v>120</v>
      </c>
      <c r="K1025" s="9" t="s">
        <v>1345</v>
      </c>
    </row>
    <row r="1026" spans="1:11" x14ac:dyDescent="0.25">
      <c r="A1026" s="5">
        <v>1015</v>
      </c>
      <c r="B1026" s="5">
        <v>45</v>
      </c>
      <c r="C1026" s="10" t="s">
        <v>214</v>
      </c>
      <c r="D1026" s="7" t="s">
        <v>2327</v>
      </c>
      <c r="E1026" s="8" t="str">
        <f>T("《八月之光》新論")</f>
        <v>《八月之光》新論</v>
      </c>
      <c r="F1026" s="7" t="s">
        <v>3412</v>
      </c>
      <c r="G1026" s="7" t="str">
        <f t="shared" si="47"/>
        <v>北京大學</v>
      </c>
      <c r="H1026" s="7" t="str">
        <f t="shared" si="48"/>
        <v>20070101</v>
      </c>
      <c r="I1026" s="7">
        <v>22</v>
      </c>
      <c r="J1026" s="7">
        <v>132</v>
      </c>
      <c r="K1026" s="9" t="s">
        <v>1345</v>
      </c>
    </row>
    <row r="1027" spans="1:11" x14ac:dyDescent="0.25">
      <c r="A1027" s="5">
        <v>1016</v>
      </c>
      <c r="B1027" s="5">
        <v>46</v>
      </c>
      <c r="C1027" s="10" t="s">
        <v>215</v>
      </c>
      <c r="D1027" s="7" t="s">
        <v>2328</v>
      </c>
      <c r="E1027" s="8" t="str">
        <f>T("《土生子》新論")</f>
        <v>《土生子》新論</v>
      </c>
      <c r="F1027" s="7" t="s">
        <v>3413</v>
      </c>
      <c r="G1027" s="7" t="str">
        <f t="shared" si="47"/>
        <v>北京大學</v>
      </c>
      <c r="H1027" s="7" t="str">
        <f t="shared" si="48"/>
        <v>20070101</v>
      </c>
      <c r="I1027" s="7">
        <v>20</v>
      </c>
      <c r="J1027" s="7">
        <v>120</v>
      </c>
      <c r="K1027" s="9" t="s">
        <v>1345</v>
      </c>
    </row>
    <row r="1028" spans="1:11" x14ac:dyDescent="0.25">
      <c r="A1028" s="5">
        <v>1017</v>
      </c>
      <c r="B1028" s="5">
        <v>47</v>
      </c>
      <c r="C1028" s="10" t="s">
        <v>216</v>
      </c>
      <c r="D1028" s="7" t="s">
        <v>2329</v>
      </c>
      <c r="E1028" s="8" t="str">
        <f>T("《他們眼望上蒼》新論")</f>
        <v>《他們眼望上蒼》新論</v>
      </c>
      <c r="F1028" s="7" t="s">
        <v>3414</v>
      </c>
      <c r="G1028" s="7" t="str">
        <f t="shared" si="47"/>
        <v>北京大學</v>
      </c>
      <c r="H1028" s="7" t="str">
        <f t="shared" si="48"/>
        <v>20070101</v>
      </c>
      <c r="I1028" s="7">
        <v>20</v>
      </c>
      <c r="J1028" s="7">
        <v>120</v>
      </c>
      <c r="K1028" s="9" t="s">
        <v>1345</v>
      </c>
    </row>
    <row r="1029" spans="1:11" x14ac:dyDescent="0.25">
      <c r="A1029" s="5">
        <v>1018</v>
      </c>
      <c r="B1029" s="5">
        <v>48</v>
      </c>
      <c r="C1029" s="10" t="s">
        <v>442</v>
      </c>
      <c r="D1029" s="7" t="s">
        <v>2330</v>
      </c>
      <c r="E1029" s="8" t="str">
        <f>T("兩憶集")</f>
        <v>兩憶集</v>
      </c>
      <c r="F1029" s="7" t="s">
        <v>2757</v>
      </c>
      <c r="G1029" s="7" t="str">
        <f t="shared" si="47"/>
        <v>北京大學</v>
      </c>
      <c r="H1029" s="7" t="str">
        <f>T("20090401")</f>
        <v>20090401</v>
      </c>
      <c r="I1029" s="7">
        <v>36</v>
      </c>
      <c r="J1029" s="7">
        <v>216</v>
      </c>
      <c r="K1029" s="9" t="s">
        <v>1345</v>
      </c>
    </row>
    <row r="1030" spans="1:11" x14ac:dyDescent="0.25">
      <c r="A1030" s="5">
        <v>1019</v>
      </c>
      <c r="B1030" s="5">
        <v>49</v>
      </c>
      <c r="C1030" s="10" t="s">
        <v>226</v>
      </c>
      <c r="D1030" s="7" t="s">
        <v>2331</v>
      </c>
      <c r="E1030" s="8" t="str">
        <f>T("人生的節氣")</f>
        <v>人生的節氣</v>
      </c>
      <c r="F1030" s="7" t="s">
        <v>3415</v>
      </c>
      <c r="G1030" s="7" t="str">
        <f t="shared" si="47"/>
        <v>北京大學</v>
      </c>
      <c r="H1030" s="7" t="str">
        <f>T("20100101")</f>
        <v>20100101</v>
      </c>
      <c r="I1030" s="7">
        <v>32</v>
      </c>
      <c r="J1030" s="7">
        <v>192</v>
      </c>
      <c r="K1030" s="9" t="s">
        <v>111</v>
      </c>
    </row>
    <row r="1031" spans="1:11" x14ac:dyDescent="0.25">
      <c r="A1031" s="5">
        <v>1020</v>
      </c>
      <c r="B1031" s="5">
        <v>50</v>
      </c>
      <c r="C1031" s="10" t="s">
        <v>230</v>
      </c>
      <c r="D1031" s="7" t="s">
        <v>2332</v>
      </c>
      <c r="E1031" s="8" t="str">
        <f>T("用書鋪成的路")</f>
        <v>用書鋪成的路</v>
      </c>
      <c r="F1031" s="7" t="s">
        <v>3416</v>
      </c>
      <c r="G1031" s="7" t="str">
        <f t="shared" si="47"/>
        <v>北京大學</v>
      </c>
      <c r="H1031" s="7" t="str">
        <f>T("20100901")</f>
        <v>20100901</v>
      </c>
      <c r="I1031" s="7">
        <v>28</v>
      </c>
      <c r="J1031" s="7">
        <v>168</v>
      </c>
      <c r="K1031" s="9" t="s">
        <v>1345</v>
      </c>
    </row>
    <row r="1032" spans="1:11" x14ac:dyDescent="0.25">
      <c r="A1032" s="5">
        <v>1021</v>
      </c>
      <c r="B1032" s="5">
        <v>51</v>
      </c>
      <c r="C1032" s="10" t="s">
        <v>231</v>
      </c>
      <c r="D1032" s="7" t="s">
        <v>2333</v>
      </c>
      <c r="E1032" s="8" t="str">
        <f>T("生態烏托邦")</f>
        <v>生態烏托邦</v>
      </c>
      <c r="F1032" s="7" t="s">
        <v>1962</v>
      </c>
      <c r="G1032" s="7" t="str">
        <f t="shared" si="47"/>
        <v>北京大學</v>
      </c>
      <c r="H1032" s="7" t="str">
        <f>T("20101001")</f>
        <v>20101001</v>
      </c>
      <c r="I1032" s="7">
        <v>24</v>
      </c>
      <c r="J1032" s="7">
        <v>144</v>
      </c>
      <c r="K1032" s="9" t="s">
        <v>111</v>
      </c>
    </row>
    <row r="1033" spans="1:11" x14ac:dyDescent="0.25">
      <c r="A1033" s="5">
        <v>1022</v>
      </c>
      <c r="B1033" s="5">
        <v>52</v>
      </c>
      <c r="C1033" s="10" t="s">
        <v>232</v>
      </c>
      <c r="D1033" s="7" t="s">
        <v>2334</v>
      </c>
      <c r="E1033" s="8" t="str">
        <f>T("溯源與比較：當代海峽兩岸的小城小說")</f>
        <v>溯源與比較：當代海峽兩岸的小城小說</v>
      </c>
      <c r="F1033" s="7" t="s">
        <v>3417</v>
      </c>
      <c r="G1033" s="7" t="str">
        <f t="shared" si="47"/>
        <v>北京大學</v>
      </c>
      <c r="H1033" s="7" t="str">
        <f>T("20110601")</f>
        <v>20110601</v>
      </c>
      <c r="I1033" s="7">
        <v>42</v>
      </c>
      <c r="J1033" s="7">
        <v>252</v>
      </c>
      <c r="K1033" s="9" t="s">
        <v>1345</v>
      </c>
    </row>
    <row r="1034" spans="1:11" x14ac:dyDescent="0.25">
      <c r="A1034" s="5">
        <v>1023</v>
      </c>
      <c r="B1034" s="5">
        <v>53</v>
      </c>
      <c r="C1034" s="10" t="s">
        <v>583</v>
      </c>
      <c r="D1034" s="7" t="s">
        <v>2335</v>
      </c>
      <c r="E1034" s="8" t="str">
        <f>T("當代文學:建構與闡釋")</f>
        <v>當代文學:建構與闡釋</v>
      </c>
      <c r="F1034" s="7" t="s">
        <v>2616</v>
      </c>
      <c r="G1034" s="7" t="str">
        <f>T("武漢大學")</f>
        <v>武漢大學</v>
      </c>
      <c r="H1034" s="7" t="str">
        <f>T("20050401")</f>
        <v>20050401</v>
      </c>
      <c r="I1034" s="7">
        <v>22</v>
      </c>
      <c r="J1034" s="7">
        <v>132</v>
      </c>
      <c r="K1034" s="9" t="s">
        <v>1345</v>
      </c>
    </row>
    <row r="1035" spans="1:11" x14ac:dyDescent="0.25">
      <c r="A1035" s="5">
        <v>1024</v>
      </c>
      <c r="B1035" s="5">
        <v>54</v>
      </c>
      <c r="C1035" s="10" t="s">
        <v>477</v>
      </c>
      <c r="D1035" s="7" t="s">
        <v>2336</v>
      </c>
      <c r="E1035" s="8" t="str">
        <f>T("20世紀的中國文學")</f>
        <v>20世紀的中國文學</v>
      </c>
      <c r="F1035" s="7" t="s">
        <v>3418</v>
      </c>
      <c r="G1035" s="7" t="str">
        <f>T("武漢大學")</f>
        <v>武漢大學</v>
      </c>
      <c r="H1035" s="7" t="str">
        <f>T("20090601")</f>
        <v>20090601</v>
      </c>
      <c r="I1035" s="7">
        <v>39.799999999999997</v>
      </c>
      <c r="J1035" s="7">
        <v>239</v>
      </c>
      <c r="K1035" s="9" t="s">
        <v>1345</v>
      </c>
    </row>
    <row r="1036" spans="1:11" x14ac:dyDescent="0.25">
      <c r="A1036" s="5">
        <v>1025</v>
      </c>
      <c r="B1036" s="5">
        <v>55</v>
      </c>
      <c r="C1036" s="10" t="s">
        <v>28</v>
      </c>
      <c r="D1036" s="7" t="s">
        <v>2337</v>
      </c>
      <c r="E1036" s="8" t="str">
        <f>T("一以當十")</f>
        <v>一以當十</v>
      </c>
      <c r="F1036" s="7" t="s">
        <v>3419</v>
      </c>
      <c r="G1036" s="7" t="str">
        <f t="shared" ref="G1036:G1042" si="49">T("復旦大學")</f>
        <v>復旦大學</v>
      </c>
      <c r="H1036" s="7" t="str">
        <f>T("20050501")</f>
        <v>20050501</v>
      </c>
      <c r="I1036" s="7">
        <v>19.8</v>
      </c>
      <c r="J1036" s="7">
        <v>119</v>
      </c>
      <c r="K1036" s="9" t="s">
        <v>1345</v>
      </c>
    </row>
    <row r="1037" spans="1:11" x14ac:dyDescent="0.25">
      <c r="A1037" s="5">
        <v>1026</v>
      </c>
      <c r="B1037" s="5">
        <v>56</v>
      </c>
      <c r="C1037" s="10" t="s">
        <v>30</v>
      </c>
      <c r="D1037" s="7" t="s">
        <v>2338</v>
      </c>
      <c r="E1037" s="8" t="str">
        <f>T("歐美文學研究十論")</f>
        <v>歐美文學研究十論</v>
      </c>
      <c r="F1037" s="7" t="s">
        <v>3420</v>
      </c>
      <c r="G1037" s="7" t="str">
        <f t="shared" si="49"/>
        <v>復旦大學</v>
      </c>
      <c r="H1037" s="7" t="str">
        <f>T("20060101")</f>
        <v>20060101</v>
      </c>
      <c r="I1037" s="7">
        <v>22</v>
      </c>
      <c r="J1037" s="7">
        <v>132</v>
      </c>
      <c r="K1037" s="9" t="s">
        <v>1345</v>
      </c>
    </row>
    <row r="1038" spans="1:11" x14ac:dyDescent="0.25">
      <c r="A1038" s="5">
        <v>1027</v>
      </c>
      <c r="B1038" s="5">
        <v>57</v>
      </c>
      <c r="C1038" s="10" t="s">
        <v>135</v>
      </c>
      <c r="D1038" s="7" t="s">
        <v>2339</v>
      </c>
      <c r="E1038" s="8" t="str">
        <f>T("二十世紀西方文論選讀(上下)")</f>
        <v>二十世紀西方文論選讀(上下)</v>
      </c>
      <c r="F1038" s="7" t="s">
        <v>3421</v>
      </c>
      <c r="G1038" s="7" t="str">
        <f t="shared" si="49"/>
        <v>復旦大學</v>
      </c>
      <c r="H1038" s="7" t="str">
        <f>T("20060701")</f>
        <v>20060701</v>
      </c>
      <c r="I1038" s="7">
        <v>68</v>
      </c>
      <c r="J1038" s="7">
        <v>408</v>
      </c>
      <c r="K1038" s="9" t="s">
        <v>1345</v>
      </c>
    </row>
    <row r="1039" spans="1:11" x14ac:dyDescent="0.25">
      <c r="A1039" s="5">
        <v>1028</v>
      </c>
      <c r="B1039" s="5">
        <v>58</v>
      </c>
      <c r="C1039" s="10" t="s">
        <v>293</v>
      </c>
      <c r="D1039" s="7" t="s">
        <v>2340</v>
      </c>
      <c r="E1039" s="8" t="str">
        <f>T("曼麗·象牙戒指")</f>
        <v>曼麗·象牙戒指</v>
      </c>
      <c r="F1039" s="7" t="s">
        <v>3422</v>
      </c>
      <c r="G1039" s="7" t="str">
        <f t="shared" si="49"/>
        <v>復旦大學</v>
      </c>
      <c r="H1039" s="7" t="str">
        <f>T("20060801")</f>
        <v>20060801</v>
      </c>
      <c r="I1039" s="7">
        <v>18</v>
      </c>
      <c r="J1039" s="7">
        <v>108</v>
      </c>
      <c r="K1039" s="9" t="s">
        <v>111</v>
      </c>
    </row>
    <row r="1040" spans="1:11" x14ac:dyDescent="0.25">
      <c r="A1040" s="5">
        <v>1029</v>
      </c>
      <c r="B1040" s="5">
        <v>59</v>
      </c>
      <c r="C1040" s="10" t="s">
        <v>393</v>
      </c>
      <c r="D1040" s="7" t="s">
        <v>2341</v>
      </c>
      <c r="E1040" s="8" t="str">
        <f>T("獻芹錄")</f>
        <v>獻芹錄</v>
      </c>
      <c r="F1040" s="7" t="s">
        <v>3423</v>
      </c>
      <c r="G1040" s="7" t="str">
        <f t="shared" si="49"/>
        <v>復旦大學</v>
      </c>
      <c r="H1040" s="7" t="str">
        <f>T("20090501")</f>
        <v>20090501</v>
      </c>
      <c r="I1040" s="7">
        <v>32</v>
      </c>
      <c r="J1040" s="7">
        <v>192</v>
      </c>
      <c r="K1040" s="9" t="s">
        <v>1345</v>
      </c>
    </row>
    <row r="1041" spans="1:11" ht="28.5" x14ac:dyDescent="0.25">
      <c r="A1041" s="5">
        <v>1030</v>
      </c>
      <c r="B1041" s="5">
        <v>60</v>
      </c>
      <c r="C1041" s="10" t="s">
        <v>396</v>
      </c>
      <c r="D1041" s="7" t="s">
        <v>2342</v>
      </c>
      <c r="E1041" s="8" t="str">
        <f>T("中國當代作家面面觀——文學的自覺（上下冊）")</f>
        <v>中國當代作家面面觀——文學的自覺（上下冊）</v>
      </c>
      <c r="F1041" s="7" t="s">
        <v>3424</v>
      </c>
      <c r="G1041" s="7" t="str">
        <f t="shared" si="49"/>
        <v>復旦大學</v>
      </c>
      <c r="H1041" s="7" t="str">
        <f>T("20100101")</f>
        <v>20100101</v>
      </c>
      <c r="I1041" s="7">
        <v>88</v>
      </c>
      <c r="J1041" s="7">
        <v>528</v>
      </c>
      <c r="K1041" s="9" t="s">
        <v>1345</v>
      </c>
    </row>
    <row r="1042" spans="1:11" x14ac:dyDescent="0.25">
      <c r="A1042" s="5">
        <v>1031</v>
      </c>
      <c r="B1042" s="5">
        <v>61</v>
      </c>
      <c r="C1042" s="10" t="s">
        <v>298</v>
      </c>
      <c r="D1042" s="7" t="s">
        <v>2343</v>
      </c>
      <c r="E1042" s="8" t="str">
        <f>T("三十功名塵與土")</f>
        <v>三十功名塵與土</v>
      </c>
      <c r="F1042" s="7" t="s">
        <v>3425</v>
      </c>
      <c r="G1042" s="7" t="str">
        <f t="shared" si="49"/>
        <v>復旦大學</v>
      </c>
      <c r="H1042" s="7" t="str">
        <f>T("20100801")</f>
        <v>20100801</v>
      </c>
      <c r="I1042" s="7">
        <v>35</v>
      </c>
      <c r="J1042" s="7">
        <v>210</v>
      </c>
      <c r="K1042" s="9" t="s">
        <v>1345</v>
      </c>
    </row>
    <row r="1043" spans="1:11" x14ac:dyDescent="0.25">
      <c r="A1043" s="5">
        <v>1032</v>
      </c>
      <c r="B1043" s="5">
        <v>62</v>
      </c>
      <c r="C1043" s="10" t="s">
        <v>299</v>
      </c>
      <c r="D1043" s="7" t="s">
        <v>2344</v>
      </c>
      <c r="E1043" s="8" t="str">
        <f>T("多彩的旋律──中國女性文學主題研究")</f>
        <v>多彩的旋律──中國女性文學主題研究</v>
      </c>
      <c r="F1043" s="7" t="s">
        <v>3426</v>
      </c>
      <c r="G1043" s="7" t="str">
        <f>T("南開大學")</f>
        <v>南開大學</v>
      </c>
      <c r="H1043" s="7" t="str">
        <f>T("20030101")</f>
        <v>20030101</v>
      </c>
      <c r="I1043" s="7">
        <v>15</v>
      </c>
      <c r="J1043" s="7">
        <v>90</v>
      </c>
      <c r="K1043" s="9" t="s">
        <v>1345</v>
      </c>
    </row>
    <row r="1044" spans="1:11" x14ac:dyDescent="0.25">
      <c r="A1044" s="5">
        <v>1033</v>
      </c>
      <c r="B1044" s="5">
        <v>63</v>
      </c>
      <c r="C1044" s="10" t="s">
        <v>964</v>
      </c>
      <c r="D1044" s="7" t="s">
        <v>2345</v>
      </c>
      <c r="E1044" s="8" t="str">
        <f>T("魯迅的文化詩學")</f>
        <v>魯迅的文化詩學</v>
      </c>
      <c r="F1044" s="7" t="s">
        <v>3427</v>
      </c>
      <c r="G1044" s="7" t="str">
        <f>T("中國社科")</f>
        <v>中國社科</v>
      </c>
      <c r="H1044" s="7" t="str">
        <f>T("20070101")</f>
        <v>20070101</v>
      </c>
      <c r="I1044" s="7">
        <v>19</v>
      </c>
      <c r="J1044" s="7">
        <v>114</v>
      </c>
      <c r="K1044" s="9" t="s">
        <v>111</v>
      </c>
    </row>
    <row r="1045" spans="1:11" ht="28.5" x14ac:dyDescent="0.25">
      <c r="A1045" s="5">
        <v>1034</v>
      </c>
      <c r="B1045" s="5">
        <v>64</v>
      </c>
      <c r="C1045" s="10" t="s">
        <v>837</v>
      </c>
      <c r="D1045" s="7" t="s">
        <v>2346</v>
      </c>
      <c r="E1045" s="8" t="str">
        <f>T("化俗從雅文學觀的建立:朱自清與西方文藝思想關係研究")</f>
        <v>化俗從雅文學觀的建立:朱自清與西方文藝思想關係研究</v>
      </c>
      <c r="F1045" s="7" t="s">
        <v>3428</v>
      </c>
      <c r="G1045" s="7" t="str">
        <f>T("中國社科")</f>
        <v>中國社科</v>
      </c>
      <c r="H1045" s="7" t="str">
        <f>T("20071001")</f>
        <v>20071001</v>
      </c>
      <c r="I1045" s="7">
        <v>22</v>
      </c>
      <c r="J1045" s="7">
        <v>132</v>
      </c>
      <c r="K1045" s="9" t="s">
        <v>1345</v>
      </c>
    </row>
    <row r="1046" spans="1:11" x14ac:dyDescent="0.25">
      <c r="A1046" s="5">
        <v>1035</v>
      </c>
      <c r="B1046" s="5">
        <v>65</v>
      </c>
      <c r="C1046" s="10" t="s">
        <v>839</v>
      </c>
      <c r="D1046" s="7" t="s">
        <v>2347</v>
      </c>
      <c r="E1046" s="8" t="str">
        <f>T("烈火中的青春：69位元兵團列士尋訪紀錄")</f>
        <v>烈火中的青春：69位元兵團列士尋訪紀錄</v>
      </c>
      <c r="F1046" s="7" t="s">
        <v>3429</v>
      </c>
      <c r="G1046" s="7" t="str">
        <f>T("中國社科")</f>
        <v>中國社科</v>
      </c>
      <c r="H1046" s="7" t="str">
        <f>T("20090701")</f>
        <v>20090701</v>
      </c>
      <c r="I1046" s="7">
        <v>38</v>
      </c>
      <c r="J1046" s="7">
        <v>228</v>
      </c>
      <c r="K1046" s="9" t="s">
        <v>111</v>
      </c>
    </row>
    <row r="1047" spans="1:11" x14ac:dyDescent="0.25">
      <c r="A1047" s="5">
        <v>1036</v>
      </c>
      <c r="B1047" s="5">
        <v>66</v>
      </c>
      <c r="C1047" s="10" t="s">
        <v>541</v>
      </c>
      <c r="D1047" s="7" t="s">
        <v>2348</v>
      </c>
      <c r="E1047" s="8" t="str">
        <f>T("中國現代文學的身體闡釋")</f>
        <v>中國現代文學的身體闡釋</v>
      </c>
      <c r="F1047" s="7" t="s">
        <v>3430</v>
      </c>
      <c r="G1047" s="7" t="str">
        <f>T("中國社科")</f>
        <v>中國社科</v>
      </c>
      <c r="H1047" s="7" t="str">
        <f>T("20090901")</f>
        <v>20090901</v>
      </c>
      <c r="I1047" s="7">
        <v>31</v>
      </c>
      <c r="J1047" s="7">
        <v>186</v>
      </c>
      <c r="K1047" s="9" t="s">
        <v>1345</v>
      </c>
    </row>
    <row r="1048" spans="1:11" x14ac:dyDescent="0.25">
      <c r="A1048" s="5">
        <v>1037</v>
      </c>
      <c r="B1048" s="5">
        <v>67</v>
      </c>
      <c r="C1048" s="10" t="s">
        <v>221</v>
      </c>
      <c r="D1048" s="7" t="s">
        <v>2349</v>
      </c>
      <c r="E1048" s="8" t="str">
        <f>T("世說新寓")</f>
        <v>世說新寓</v>
      </c>
      <c r="F1048" s="7" t="s">
        <v>3431</v>
      </c>
      <c r="G1048" s="7" t="str">
        <f>T("新華")</f>
        <v>新華</v>
      </c>
      <c r="H1048" s="7" t="str">
        <f>T("20070301")</f>
        <v>20070301</v>
      </c>
      <c r="I1048" s="7">
        <v>28</v>
      </c>
      <c r="J1048" s="7">
        <v>168</v>
      </c>
      <c r="K1048" s="9" t="s">
        <v>111</v>
      </c>
    </row>
    <row r="1049" spans="1:11" x14ac:dyDescent="0.25">
      <c r="A1049" s="5">
        <v>1038</v>
      </c>
      <c r="B1049" s="5">
        <v>68</v>
      </c>
      <c r="C1049" s="10" t="s">
        <v>337</v>
      </c>
      <c r="D1049" s="7" t="s">
        <v>2350</v>
      </c>
      <c r="E1049" s="8" t="str">
        <f>T("兇手在路上-人性的另類解讀")</f>
        <v>兇手在路上-人性的另類解讀</v>
      </c>
      <c r="F1049" s="7" t="s">
        <v>3432</v>
      </c>
      <c r="G1049" s="7" t="str">
        <f>T("世界知識")</f>
        <v>世界知識</v>
      </c>
      <c r="H1049" s="7" t="str">
        <f>T("20100501")</f>
        <v>20100501</v>
      </c>
      <c r="I1049" s="7">
        <v>29</v>
      </c>
      <c r="J1049" s="7">
        <v>174</v>
      </c>
      <c r="K1049" s="9" t="s">
        <v>111</v>
      </c>
    </row>
    <row r="1050" spans="1:11" x14ac:dyDescent="0.25">
      <c r="A1050" s="5">
        <v>1039</v>
      </c>
      <c r="B1050" s="5">
        <v>69</v>
      </c>
      <c r="C1050" s="10" t="s">
        <v>24</v>
      </c>
      <c r="D1050" s="7" t="s">
        <v>2351</v>
      </c>
      <c r="E1050" s="8" t="str">
        <f>T("1CD--從此醉")</f>
        <v>1CD--從此醉</v>
      </c>
      <c r="F1050" s="7" t="s">
        <v>3433</v>
      </c>
      <c r="G1050" s="7" t="str">
        <f>T("文化藝術")</f>
        <v>文化藝術</v>
      </c>
      <c r="H1050" s="7" t="str">
        <f>T("20091001")</f>
        <v>20091001</v>
      </c>
      <c r="I1050" s="7">
        <v>25</v>
      </c>
      <c r="J1050" s="7">
        <v>150</v>
      </c>
      <c r="K1050" s="9" t="s">
        <v>111</v>
      </c>
    </row>
    <row r="1051" spans="1:11" x14ac:dyDescent="0.25">
      <c r="A1051" s="5">
        <v>1040</v>
      </c>
      <c r="B1051" s="5">
        <v>70</v>
      </c>
      <c r="C1051" s="10" t="s">
        <v>27</v>
      </c>
      <c r="D1051" s="7" t="s">
        <v>2352</v>
      </c>
      <c r="E1051" s="8" t="str">
        <f>T("錦 月亮城堡")</f>
        <v>錦 月亮城堡</v>
      </c>
      <c r="F1051" s="7" t="s">
        <v>3434</v>
      </c>
      <c r="G1051" s="7" t="str">
        <f>T("文化藝術")</f>
        <v>文化藝術</v>
      </c>
      <c r="H1051" s="7" t="str">
        <f>T("20100801")</f>
        <v>20100801</v>
      </c>
      <c r="I1051" s="7">
        <v>22</v>
      </c>
      <c r="J1051" s="7">
        <v>132</v>
      </c>
      <c r="K1051" s="9" t="s">
        <v>111</v>
      </c>
    </row>
    <row r="1052" spans="1:11" x14ac:dyDescent="0.25">
      <c r="A1052" s="5">
        <v>1041</v>
      </c>
      <c r="B1052" s="5">
        <v>71</v>
      </c>
      <c r="C1052" s="10" t="s">
        <v>295</v>
      </c>
      <c r="D1052" s="7" t="s">
        <v>2353</v>
      </c>
      <c r="E1052" s="8" t="str">
        <f>T("清風入夢·怡殤.2")</f>
        <v>清風入夢·怡殤.2</v>
      </c>
      <c r="F1052" s="7" t="s">
        <v>3435</v>
      </c>
      <c r="G1052" s="7" t="str">
        <f>T("朝華")</f>
        <v>朝華</v>
      </c>
      <c r="H1052" s="7" t="str">
        <f>T("20070801")</f>
        <v>20070801</v>
      </c>
      <c r="I1052" s="7">
        <v>22</v>
      </c>
      <c r="J1052" s="7">
        <v>132</v>
      </c>
      <c r="K1052" s="9" t="s">
        <v>111</v>
      </c>
    </row>
    <row r="1053" spans="1:11" x14ac:dyDescent="0.25">
      <c r="A1053" s="5">
        <v>1042</v>
      </c>
      <c r="B1053" s="5">
        <v>72</v>
      </c>
      <c r="C1053" s="10" t="s">
        <v>296</v>
      </c>
      <c r="D1053" s="7" t="s">
        <v>2354</v>
      </c>
      <c r="E1053" s="8" t="str">
        <f>T("何必淺碧輕紅色(Xiron)")</f>
        <v>何必淺碧輕紅色(Xiron)</v>
      </c>
      <c r="F1053" s="7" t="s">
        <v>3436</v>
      </c>
      <c r="G1053" s="7" t="str">
        <f>T("朝華")</f>
        <v>朝華</v>
      </c>
      <c r="H1053" s="7" t="str">
        <f>T("20080201")</f>
        <v>20080201</v>
      </c>
      <c r="I1053" s="7">
        <v>22</v>
      </c>
      <c r="J1053" s="7">
        <v>132</v>
      </c>
      <c r="K1053" s="9" t="s">
        <v>111</v>
      </c>
    </row>
    <row r="1054" spans="1:11" x14ac:dyDescent="0.25">
      <c r="A1054" s="5">
        <v>1043</v>
      </c>
      <c r="B1054" s="5">
        <v>73</v>
      </c>
      <c r="C1054" s="10" t="s">
        <v>117</v>
      </c>
      <c r="D1054" s="7" t="s">
        <v>2355</v>
      </c>
      <c r="E1054" s="8" t="str">
        <f>T("晝夜之遠")</f>
        <v>晝夜之遠</v>
      </c>
      <c r="F1054" s="7" t="s">
        <v>3437</v>
      </c>
      <c r="G1054" s="7" t="str">
        <f>T("朝華")</f>
        <v>朝華</v>
      </c>
      <c r="H1054" s="7" t="str">
        <f>T("20100801")</f>
        <v>20100801</v>
      </c>
      <c r="I1054" s="7">
        <v>29.8</v>
      </c>
      <c r="J1054" s="7">
        <v>179</v>
      </c>
      <c r="K1054" s="9" t="s">
        <v>1345</v>
      </c>
    </row>
    <row r="1055" spans="1:11" x14ac:dyDescent="0.25">
      <c r="A1055" s="5">
        <v>1044</v>
      </c>
      <c r="B1055" s="5">
        <v>74</v>
      </c>
      <c r="C1055" s="10" t="s">
        <v>729</v>
      </c>
      <c r="D1055" s="7" t="s">
        <v>2356</v>
      </c>
      <c r="E1055" s="8" t="str">
        <f>T("墓之法老詛咒")</f>
        <v>墓之法老詛咒</v>
      </c>
      <c r="F1055" s="7" t="s">
        <v>3438</v>
      </c>
      <c r="G1055" s="7" t="str">
        <f>T("東方")</f>
        <v>東方</v>
      </c>
      <c r="H1055" s="7" t="str">
        <f>T("20100201")</f>
        <v>20100201</v>
      </c>
      <c r="I1055" s="7">
        <v>28</v>
      </c>
      <c r="J1055" s="7">
        <v>168</v>
      </c>
      <c r="K1055" s="9" t="s">
        <v>111</v>
      </c>
    </row>
    <row r="1056" spans="1:11" x14ac:dyDescent="0.25">
      <c r="A1056" s="5">
        <v>1045</v>
      </c>
      <c r="B1056" s="5">
        <v>75</v>
      </c>
      <c r="C1056" s="10" t="s">
        <v>553</v>
      </c>
      <c r="D1056" s="7" t="s">
        <v>2357</v>
      </c>
      <c r="E1056" s="8" t="str">
        <f>T("1CD-蝴蝶公墓")</f>
        <v>1CD-蝴蝶公墓</v>
      </c>
      <c r="F1056" s="7" t="s">
        <v>3439</v>
      </c>
      <c r="G1056" s="7" t="str">
        <f>T("作家")</f>
        <v>作家</v>
      </c>
      <c r="H1056" s="7" t="str">
        <f>T("20070101")</f>
        <v>20070101</v>
      </c>
      <c r="I1056" s="7">
        <v>25</v>
      </c>
      <c r="J1056" s="7">
        <v>150</v>
      </c>
      <c r="K1056" s="9" t="s">
        <v>111</v>
      </c>
    </row>
    <row r="1057" spans="1:11" x14ac:dyDescent="0.25">
      <c r="A1057" s="5">
        <v>1046</v>
      </c>
      <c r="B1057" s="5">
        <v>76</v>
      </c>
      <c r="C1057" s="10" t="s">
        <v>554</v>
      </c>
      <c r="D1057" s="7" t="s">
        <v>2358</v>
      </c>
      <c r="E1057" s="8" t="str">
        <f>T("山河入夢")</f>
        <v>山河入夢</v>
      </c>
      <c r="F1057" s="7" t="s">
        <v>3440</v>
      </c>
      <c r="G1057" s="7" t="str">
        <f>T("作家")</f>
        <v>作家</v>
      </c>
      <c r="H1057" s="7" t="str">
        <f>T("20070101")</f>
        <v>20070101</v>
      </c>
      <c r="I1057" s="7">
        <v>25</v>
      </c>
      <c r="J1057" s="7">
        <v>150</v>
      </c>
      <c r="K1057" s="9" t="s">
        <v>111</v>
      </c>
    </row>
    <row r="1058" spans="1:11" x14ac:dyDescent="0.25">
      <c r="A1058" s="5">
        <v>1047</v>
      </c>
      <c r="B1058" s="5">
        <v>77</v>
      </c>
      <c r="C1058" s="10" t="s">
        <v>58</v>
      </c>
      <c r="D1058" s="7" t="s">
        <v>2359</v>
      </c>
      <c r="E1058" s="8" t="str">
        <f>T("笑傾三國")</f>
        <v>笑傾三國</v>
      </c>
      <c r="F1058" s="7" t="s">
        <v>3441</v>
      </c>
      <c r="G1058" s="7" t="str">
        <f>T("華文")</f>
        <v>華文</v>
      </c>
      <c r="H1058" s="7" t="str">
        <f>T("20100901")</f>
        <v>20100901</v>
      </c>
      <c r="I1058" s="7">
        <v>25</v>
      </c>
      <c r="J1058" s="7">
        <v>150</v>
      </c>
      <c r="K1058" s="9" t="s">
        <v>111</v>
      </c>
    </row>
    <row r="1059" spans="1:11" x14ac:dyDescent="0.25">
      <c r="A1059" s="5">
        <v>1048</v>
      </c>
      <c r="B1059" s="5">
        <v>78</v>
      </c>
      <c r="C1059" s="10" t="s">
        <v>60</v>
      </c>
      <c r="D1059" s="7" t="s">
        <v>2360</v>
      </c>
      <c r="E1059" s="8" t="str">
        <f>T("聞夕城：奇異咖啡屋")</f>
        <v>聞夕城：奇異咖啡屋</v>
      </c>
      <c r="F1059" s="7" t="s">
        <v>3442</v>
      </c>
      <c r="G1059" s="7" t="str">
        <f>T("華文")</f>
        <v>華文</v>
      </c>
      <c r="H1059" s="7" t="str">
        <f>T("20100101")</f>
        <v>20100101</v>
      </c>
      <c r="I1059" s="7">
        <v>23</v>
      </c>
      <c r="J1059" s="7">
        <v>138</v>
      </c>
      <c r="K1059" s="9" t="s">
        <v>111</v>
      </c>
    </row>
    <row r="1060" spans="1:11" x14ac:dyDescent="0.25">
      <c r="A1060" s="5">
        <v>1049</v>
      </c>
      <c r="B1060" s="5">
        <v>79</v>
      </c>
      <c r="C1060" s="10" t="s">
        <v>473</v>
      </c>
      <c r="D1060" s="7" t="s">
        <v>2361</v>
      </c>
      <c r="E1060" s="8" t="str">
        <f>T("原來.幸福就在轉角處")</f>
        <v>原來.幸福就在轉角處</v>
      </c>
      <c r="F1060" s="7" t="s">
        <v>3443</v>
      </c>
      <c r="G1060" s="7" t="str">
        <f>T("中信")</f>
        <v>中信</v>
      </c>
      <c r="H1060" s="7" t="str">
        <f>T("20101101")</f>
        <v>20101101</v>
      </c>
      <c r="I1060" s="7">
        <v>25</v>
      </c>
      <c r="J1060" s="7">
        <v>150</v>
      </c>
      <c r="K1060" s="9" t="s">
        <v>111</v>
      </c>
    </row>
    <row r="1061" spans="1:11" x14ac:dyDescent="0.25">
      <c r="A1061" s="5">
        <v>1050</v>
      </c>
      <c r="B1061" s="5">
        <v>80</v>
      </c>
      <c r="C1061" s="10" t="s">
        <v>164</v>
      </c>
      <c r="D1061" s="7" t="s">
        <v>2362</v>
      </c>
      <c r="E1061" s="8" t="str">
        <f>T("最後的紳士")</f>
        <v>最後的紳士</v>
      </c>
      <c r="F1061" s="7" t="s">
        <v>3444</v>
      </c>
      <c r="G1061" s="7" t="str">
        <f>T("北京世圖")</f>
        <v>北京世圖</v>
      </c>
      <c r="H1061" s="7" t="str">
        <f>T("")</f>
        <v/>
      </c>
      <c r="I1061" s="7">
        <v>30</v>
      </c>
      <c r="J1061" s="7">
        <v>180</v>
      </c>
      <c r="K1061" s="9" t="s">
        <v>111</v>
      </c>
    </row>
    <row r="1062" spans="1:11" x14ac:dyDescent="0.25">
      <c r="A1062" s="5">
        <v>1051</v>
      </c>
      <c r="B1062" s="5">
        <v>81</v>
      </c>
      <c r="C1062" s="10" t="s">
        <v>35</v>
      </c>
      <c r="D1062" s="7" t="s">
        <v>2363</v>
      </c>
      <c r="E1062" s="8" t="str">
        <f>T("盜墓迷局")</f>
        <v>盜墓迷局</v>
      </c>
      <c r="F1062" s="7" t="s">
        <v>3445</v>
      </c>
      <c r="G1062" s="7" t="str">
        <f>T("中國華僑")</f>
        <v>中國華僑</v>
      </c>
      <c r="H1062" s="7" t="str">
        <f>T("20100601")</f>
        <v>20100601</v>
      </c>
      <c r="I1062" s="7">
        <v>30</v>
      </c>
      <c r="J1062" s="7">
        <v>180</v>
      </c>
      <c r="K1062" s="9" t="s">
        <v>111</v>
      </c>
    </row>
    <row r="1063" spans="1:11" ht="28.5" x14ac:dyDescent="0.25">
      <c r="A1063" s="5">
        <v>1052</v>
      </c>
      <c r="B1063" s="5">
        <v>82</v>
      </c>
      <c r="C1063" s="10" t="s">
        <v>86</v>
      </c>
      <c r="D1063" s="7" t="s">
        <v>2364</v>
      </c>
      <c r="E1063" s="8" t="str">
        <f>T("屠格涅夫卷-文學大師的短篇小說集-名家名譯插圖本")</f>
        <v>屠格涅夫卷-文學大師的短篇小說集-名家名譯插圖本</v>
      </c>
      <c r="F1063" s="7" t="s">
        <v>3446</v>
      </c>
      <c r="G1063" s="7" t="str">
        <f>T("北京科技")</f>
        <v>北京科技</v>
      </c>
      <c r="H1063" s="7" t="str">
        <f>T("20100201")</f>
        <v>20100201</v>
      </c>
      <c r="I1063" s="7">
        <v>20</v>
      </c>
      <c r="J1063" s="7">
        <v>120</v>
      </c>
      <c r="K1063" s="9" t="s">
        <v>1345</v>
      </c>
    </row>
    <row r="1064" spans="1:11" x14ac:dyDescent="0.25">
      <c r="A1064" s="5">
        <v>1053</v>
      </c>
      <c r="B1064" s="5">
        <v>83</v>
      </c>
      <c r="C1064" s="10" t="s">
        <v>67</v>
      </c>
      <c r="D1064" s="7" t="s">
        <v>2365</v>
      </c>
      <c r="E1064" s="8" t="str">
        <f>T("一大一小")</f>
        <v>一大一小</v>
      </c>
      <c r="F1064" s="7" t="s">
        <v>3447</v>
      </c>
      <c r="G1064" s="7" t="str">
        <f>T("百花文藝")</f>
        <v>百花文藝</v>
      </c>
      <c r="H1064" s="7" t="str">
        <f>T("20070501")</f>
        <v>20070501</v>
      </c>
      <c r="I1064" s="7">
        <v>21</v>
      </c>
      <c r="J1064" s="7">
        <v>126</v>
      </c>
      <c r="K1064" s="9" t="s">
        <v>111</v>
      </c>
    </row>
    <row r="1065" spans="1:11" x14ac:dyDescent="0.25">
      <c r="A1065" s="5">
        <v>1054</v>
      </c>
      <c r="B1065" s="5">
        <v>84</v>
      </c>
      <c r="C1065" s="10" t="s">
        <v>57</v>
      </c>
      <c r="D1065" s="7" t="s">
        <v>2366</v>
      </c>
      <c r="E1065" s="8" t="str">
        <f>T("天下民生-最受當代青年喜歡的精美散文")</f>
        <v>天下民生-最受當代青年喜歡的精美散文</v>
      </c>
      <c r="F1065" s="7" t="s">
        <v>3448</v>
      </c>
      <c r="G1065" s="7" t="str">
        <f>T("百花文藝")</f>
        <v>百花文藝</v>
      </c>
      <c r="H1065" s="7" t="str">
        <f>T("20100101")</f>
        <v>20100101</v>
      </c>
      <c r="I1065" s="7">
        <v>20</v>
      </c>
      <c r="J1065" s="7">
        <v>120</v>
      </c>
      <c r="K1065" s="9" t="s">
        <v>111</v>
      </c>
    </row>
    <row r="1066" spans="1:11" x14ac:dyDescent="0.25">
      <c r="A1066" s="5">
        <v>1055</v>
      </c>
      <c r="B1066" s="5">
        <v>85</v>
      </c>
      <c r="C1066" s="10" t="s">
        <v>247</v>
      </c>
      <c r="D1066" s="7" t="s">
        <v>2367</v>
      </c>
      <c r="E1066" s="8" t="str">
        <f>T("郁達夫散文選集")</f>
        <v>郁達夫散文選集</v>
      </c>
      <c r="F1066" s="7" t="s">
        <v>3449</v>
      </c>
      <c r="G1066" s="7" t="str">
        <f>T("百花文藝")</f>
        <v>百花文藝</v>
      </c>
      <c r="H1066" s="7" t="str">
        <f>T("20090601")</f>
        <v>20090601</v>
      </c>
      <c r="I1066" s="7">
        <v>26</v>
      </c>
      <c r="J1066" s="7">
        <v>156</v>
      </c>
      <c r="K1066" s="9" t="s">
        <v>1345</v>
      </c>
    </row>
    <row r="1067" spans="1:11" x14ac:dyDescent="0.25">
      <c r="A1067" s="5">
        <v>1056</v>
      </c>
      <c r="B1067" s="5">
        <v>86</v>
      </c>
      <c r="C1067" s="10" t="s">
        <v>352</v>
      </c>
      <c r="D1067" s="7" t="s">
        <v>2368</v>
      </c>
      <c r="E1067" s="8" t="str">
        <f>T("開拓視野-最受當代青年喜歡的精美散文")</f>
        <v>開拓視野-最受當代青年喜歡的精美散文</v>
      </c>
      <c r="F1067" s="7" t="s">
        <v>3448</v>
      </c>
      <c r="G1067" s="7" t="str">
        <f>T("百花文藝")</f>
        <v>百花文藝</v>
      </c>
      <c r="H1067" s="7" t="str">
        <f>T("20100101")</f>
        <v>20100101</v>
      </c>
      <c r="I1067" s="7">
        <v>20</v>
      </c>
      <c r="J1067" s="7">
        <v>120</v>
      </c>
      <c r="K1067" s="9" t="s">
        <v>111</v>
      </c>
    </row>
    <row r="1068" spans="1:11" x14ac:dyDescent="0.25">
      <c r="A1068" s="5">
        <v>1057</v>
      </c>
      <c r="B1068" s="5">
        <v>87</v>
      </c>
      <c r="C1068" s="10" t="s">
        <v>355</v>
      </c>
      <c r="D1068" s="7" t="s">
        <v>2369</v>
      </c>
      <c r="E1068" s="8" t="str">
        <f>T("一百里間春似海")</f>
        <v>一百里間春似海</v>
      </c>
      <c r="F1068" s="7" t="s">
        <v>3450</v>
      </c>
      <c r="G1068" s="7" t="str">
        <f>T("天津教育")</f>
        <v>天津教育</v>
      </c>
      <c r="H1068" s="7" t="str">
        <f>T("20080401")</f>
        <v>20080401</v>
      </c>
      <c r="I1068" s="7">
        <v>16</v>
      </c>
      <c r="J1068" s="7">
        <v>96</v>
      </c>
      <c r="K1068" s="9" t="s">
        <v>111</v>
      </c>
    </row>
    <row r="1069" spans="1:11" x14ac:dyDescent="0.25">
      <c r="A1069" s="5">
        <v>1058</v>
      </c>
      <c r="B1069" s="5">
        <v>88</v>
      </c>
      <c r="C1069" s="10" t="s">
        <v>252</v>
      </c>
      <c r="D1069" s="7" t="s">
        <v>2370</v>
      </c>
      <c r="E1069" s="8" t="str">
        <f>T("在唐詩的故鄉")</f>
        <v>在唐詩的故鄉</v>
      </c>
      <c r="F1069" s="7" t="s">
        <v>3451</v>
      </c>
      <c r="G1069" s="7" t="str">
        <f>T("春風文藝")</f>
        <v>春風文藝</v>
      </c>
      <c r="H1069" s="7" t="str">
        <f>T("20091201")</f>
        <v>20091201</v>
      </c>
      <c r="I1069" s="7">
        <v>26</v>
      </c>
      <c r="J1069" s="7">
        <v>156</v>
      </c>
      <c r="K1069" s="9" t="s">
        <v>111</v>
      </c>
    </row>
    <row r="1070" spans="1:11" x14ac:dyDescent="0.25">
      <c r="A1070" s="5">
        <v>1059</v>
      </c>
      <c r="B1070" s="5">
        <v>89</v>
      </c>
      <c r="C1070" s="10" t="s">
        <v>253</v>
      </c>
      <c r="D1070" s="7" t="s">
        <v>2371</v>
      </c>
      <c r="E1070" s="8" t="str">
        <f>T("十二濯香令")</f>
        <v>十二濯香令</v>
      </c>
      <c r="F1070" s="7" t="s">
        <v>3452</v>
      </c>
      <c r="G1070" s="7" t="str">
        <f>T("春風文藝")</f>
        <v>春風文藝</v>
      </c>
      <c r="H1070" s="7" t="str">
        <f>T("20100601")</f>
        <v>20100601</v>
      </c>
      <c r="I1070" s="7">
        <v>16.8</v>
      </c>
      <c r="J1070" s="7">
        <v>101</v>
      </c>
      <c r="K1070" s="9" t="s">
        <v>111</v>
      </c>
    </row>
    <row r="1071" spans="1:11" x14ac:dyDescent="0.25">
      <c r="A1071" s="5">
        <v>1060</v>
      </c>
      <c r="B1071" s="5">
        <v>90</v>
      </c>
      <c r="C1071" s="10" t="s">
        <v>1</v>
      </c>
      <c r="D1071" s="7" t="s">
        <v>2372</v>
      </c>
      <c r="E1071" s="8" t="str">
        <f>T("飛機場")</f>
        <v>飛機場</v>
      </c>
      <c r="F1071" s="7" t="s">
        <v>3453</v>
      </c>
      <c r="G1071" s="7" t="str">
        <f>T("上海文藝")</f>
        <v>上海文藝</v>
      </c>
      <c r="H1071" s="7" t="str">
        <f>T("20060101")</f>
        <v>20060101</v>
      </c>
      <c r="I1071" s="7">
        <v>16</v>
      </c>
      <c r="J1071" s="7">
        <v>96</v>
      </c>
      <c r="K1071" s="9" t="s">
        <v>111</v>
      </c>
    </row>
    <row r="1072" spans="1:11" x14ac:dyDescent="0.25">
      <c r="A1072" s="5">
        <v>1061</v>
      </c>
      <c r="B1072" s="5">
        <v>91</v>
      </c>
      <c r="C1072" s="10" t="s">
        <v>4</v>
      </c>
      <c r="D1072" s="7" t="s">
        <v>2373</v>
      </c>
      <c r="E1072" s="8" t="str">
        <f>T("上海猶太城")</f>
        <v>上海猶太城</v>
      </c>
      <c r="F1072" s="7" t="s">
        <v>3454</v>
      </c>
      <c r="G1072" s="7" t="str">
        <f>T("上海文藝")</f>
        <v>上海文藝</v>
      </c>
      <c r="H1072" s="7" t="str">
        <f>T("20070801")</f>
        <v>20070801</v>
      </c>
      <c r="I1072" s="7">
        <v>24</v>
      </c>
      <c r="J1072" s="7">
        <v>144</v>
      </c>
      <c r="K1072" s="9" t="s">
        <v>111</v>
      </c>
    </row>
    <row r="1073" spans="1:11" x14ac:dyDescent="0.25">
      <c r="A1073" s="5">
        <v>1062</v>
      </c>
      <c r="B1073" s="5">
        <v>92</v>
      </c>
      <c r="C1073" s="10" t="s">
        <v>789</v>
      </c>
      <c r="D1073" s="7" t="s">
        <v>2374</v>
      </c>
      <c r="E1073" s="8" t="str">
        <f>T("全球化與人文學術的發展")</f>
        <v>全球化與人文學術的發展</v>
      </c>
      <c r="F1073" s="7" t="s">
        <v>3455</v>
      </c>
      <c r="G1073" s="7" t="str">
        <f>T("上海古籍")</f>
        <v>上海古籍</v>
      </c>
      <c r="H1073" s="7" t="str">
        <f>T("20050101")</f>
        <v>20050101</v>
      </c>
      <c r="I1073" s="7">
        <v>18</v>
      </c>
      <c r="J1073" s="7">
        <v>108</v>
      </c>
      <c r="K1073" s="9" t="s">
        <v>1345</v>
      </c>
    </row>
    <row r="1074" spans="1:11" x14ac:dyDescent="0.25">
      <c r="A1074" s="5">
        <v>1063</v>
      </c>
      <c r="B1074" s="5">
        <v>93</v>
      </c>
      <c r="C1074" s="10" t="s">
        <v>11</v>
      </c>
      <c r="D1074" s="7" t="s">
        <v>2375</v>
      </c>
      <c r="E1074" s="8" t="str">
        <f>T("琴-大俠周銳寫中國")</f>
        <v>琴-大俠周銳寫中國</v>
      </c>
      <c r="F1074" s="7" t="s">
        <v>3456</v>
      </c>
      <c r="G1074" s="7" t="str">
        <f>T("山東明天")</f>
        <v>山東明天</v>
      </c>
      <c r="H1074" s="7" t="str">
        <f>T("20100601")</f>
        <v>20100601</v>
      </c>
      <c r="I1074" s="7">
        <v>16.8</v>
      </c>
      <c r="J1074" s="7">
        <v>101</v>
      </c>
      <c r="K1074" s="9" t="s">
        <v>111</v>
      </c>
    </row>
    <row r="1075" spans="1:11" x14ac:dyDescent="0.25">
      <c r="A1075" s="5">
        <v>1064</v>
      </c>
      <c r="B1075" s="5">
        <v>94</v>
      </c>
      <c r="C1075" s="10" t="s">
        <v>12</v>
      </c>
      <c r="D1075" s="7" t="s">
        <v>2376</v>
      </c>
      <c r="E1075" s="8" t="str">
        <f>T("棋-大俠周銳寫中國")</f>
        <v>棋-大俠周銳寫中國</v>
      </c>
      <c r="F1075" s="7" t="s">
        <v>3456</v>
      </c>
      <c r="G1075" s="7" t="str">
        <f>T("山東明天")</f>
        <v>山東明天</v>
      </c>
      <c r="H1075" s="7" t="str">
        <f>T("20100601")</f>
        <v>20100601</v>
      </c>
      <c r="I1075" s="7">
        <v>16.8</v>
      </c>
      <c r="J1075" s="7">
        <v>101</v>
      </c>
      <c r="K1075" s="9" t="s">
        <v>111</v>
      </c>
    </row>
    <row r="1076" spans="1:11" ht="28.5" x14ac:dyDescent="0.25">
      <c r="A1076" s="5">
        <v>1065</v>
      </c>
      <c r="B1076" s="5">
        <v>95</v>
      </c>
      <c r="C1076" s="10" t="s">
        <v>612</v>
      </c>
      <c r="D1076" s="7" t="s">
        <v>2377</v>
      </c>
      <c r="E1076" s="8" t="str">
        <f>T("中國當代小說情愛敘事研究(文史哲博士文叢)")</f>
        <v>中國當代小說情愛敘事研究(文史哲博士文叢)</v>
      </c>
      <c r="F1076" s="7" t="s">
        <v>3457</v>
      </c>
      <c r="G1076" s="7" t="str">
        <f>T("齊魯書社")</f>
        <v>齊魯書社</v>
      </c>
      <c r="H1076" s="7" t="str">
        <f>T("")</f>
        <v/>
      </c>
      <c r="I1076" s="7">
        <v>18</v>
      </c>
      <c r="J1076" s="7">
        <v>108</v>
      </c>
      <c r="K1076" s="9" t="s">
        <v>1345</v>
      </c>
    </row>
    <row r="1077" spans="1:11" x14ac:dyDescent="0.25">
      <c r="A1077" s="5">
        <v>1066</v>
      </c>
      <c r="B1077" s="5">
        <v>96</v>
      </c>
      <c r="C1077" s="10" t="s">
        <v>613</v>
      </c>
      <c r="D1077" s="7" t="s">
        <v>2378</v>
      </c>
      <c r="E1077" s="8" t="str">
        <f>T("現代中國文學沉思錄")</f>
        <v>現代中國文學沉思錄</v>
      </c>
      <c r="F1077" s="7" t="s">
        <v>3458</v>
      </c>
      <c r="G1077" s="7" t="str">
        <f>T("齊魯書社")</f>
        <v>齊魯書社</v>
      </c>
      <c r="H1077" s="7" t="str">
        <f>T("20070101")</f>
        <v>20070101</v>
      </c>
      <c r="I1077" s="7">
        <v>22</v>
      </c>
      <c r="J1077" s="7">
        <v>132</v>
      </c>
      <c r="K1077" s="9" t="s">
        <v>1345</v>
      </c>
    </row>
    <row r="1078" spans="1:11" x14ac:dyDescent="0.25">
      <c r="A1078" s="5">
        <v>1067</v>
      </c>
      <c r="B1078" s="5">
        <v>97</v>
      </c>
      <c r="C1078" s="10" t="s">
        <v>632</v>
      </c>
      <c r="D1078" s="7" t="s">
        <v>2379</v>
      </c>
      <c r="E1078" s="8" t="str">
        <f>T("理念、創作與批判—20世紀中國文學綜論")</f>
        <v>理念、創作與批判—20世紀中國文學綜論</v>
      </c>
      <c r="F1078" s="7" t="s">
        <v>3459</v>
      </c>
      <c r="G1078" s="7" t="str">
        <f>T("")</f>
        <v/>
      </c>
      <c r="H1078" s="7" t="str">
        <f>T("")</f>
        <v/>
      </c>
      <c r="I1078" s="7"/>
      <c r="J1078" s="7">
        <v>100</v>
      </c>
      <c r="K1078" s="9" t="s">
        <v>1345</v>
      </c>
    </row>
    <row r="1079" spans="1:11" x14ac:dyDescent="0.25">
      <c r="A1079" s="5">
        <v>1068</v>
      </c>
      <c r="B1079" s="5">
        <v>98</v>
      </c>
      <c r="C1079" s="10" t="s">
        <v>633</v>
      </c>
      <c r="D1079" s="7" t="s">
        <v>2380</v>
      </c>
      <c r="E1079" s="8" t="str">
        <f>T("遠去的群落")</f>
        <v>遠去的群落</v>
      </c>
      <c r="F1079" s="7" t="s">
        <v>3460</v>
      </c>
      <c r="G1079" s="7" t="str">
        <f>T("安徽教育")</f>
        <v>安徽教育</v>
      </c>
      <c r="H1079" s="7" t="str">
        <f>T("20070101")</f>
        <v>20070101</v>
      </c>
      <c r="I1079" s="7">
        <v>28</v>
      </c>
      <c r="J1079" s="7">
        <v>168</v>
      </c>
      <c r="K1079" s="9" t="s">
        <v>111</v>
      </c>
    </row>
    <row r="1080" spans="1:11" x14ac:dyDescent="0.25">
      <c r="A1080" s="5">
        <v>1069</v>
      </c>
      <c r="B1080" s="5">
        <v>99</v>
      </c>
      <c r="C1080" s="10" t="s">
        <v>635</v>
      </c>
      <c r="D1080" s="7" t="s">
        <v>2381</v>
      </c>
      <c r="E1080" s="8" t="str">
        <f>T("穿越中國當代文學")</f>
        <v>穿越中國當代文學</v>
      </c>
      <c r="F1080" s="7" t="s">
        <v>3461</v>
      </c>
      <c r="G1080" s="7" t="str">
        <f>T("江蘇教育")</f>
        <v>江蘇教育</v>
      </c>
      <c r="H1080" s="7" t="str">
        <f>T("20070101")</f>
        <v>20070101</v>
      </c>
      <c r="I1080" s="7">
        <v>32</v>
      </c>
      <c r="J1080" s="7">
        <v>192</v>
      </c>
      <c r="K1080" s="9" t="s">
        <v>1345</v>
      </c>
    </row>
    <row r="1081" spans="1:11" x14ac:dyDescent="0.25">
      <c r="A1081" s="5">
        <v>1070</v>
      </c>
      <c r="B1081" s="5">
        <v>100</v>
      </c>
      <c r="C1081" s="10" t="s">
        <v>650</v>
      </c>
      <c r="D1081" s="7" t="s">
        <v>2382</v>
      </c>
      <c r="E1081" s="8" t="str">
        <f>T("捧著一顆心來憶蕭士棟先生")</f>
        <v>捧著一顆心來憶蕭士棟先生</v>
      </c>
      <c r="F1081" s="7" t="s">
        <v>3462</v>
      </c>
      <c r="G1081" s="7" t="str">
        <f>T("中州古籍")</f>
        <v>中州古籍</v>
      </c>
      <c r="H1081" s="7" t="str">
        <f>T("20090701")</f>
        <v>20090701</v>
      </c>
      <c r="I1081" s="7">
        <v>38</v>
      </c>
      <c r="J1081" s="7">
        <v>228</v>
      </c>
      <c r="K1081" s="9" t="s">
        <v>1345</v>
      </c>
    </row>
    <row r="1082" spans="1:11" x14ac:dyDescent="0.25">
      <c r="A1082" s="5">
        <v>1071</v>
      </c>
      <c r="B1082" s="5">
        <v>101</v>
      </c>
      <c r="C1082" s="10" t="s">
        <v>652</v>
      </c>
      <c r="D1082" s="7" t="s">
        <v>2383</v>
      </c>
      <c r="E1082" s="8" t="str">
        <f>T("墨蹟")</f>
        <v>墨蹟</v>
      </c>
      <c r="F1082" s="7" t="s">
        <v>3463</v>
      </c>
      <c r="G1082" s="7" t="str">
        <f t="shared" ref="G1082:G1087" si="50">T("長江文藝")</f>
        <v>長江文藝</v>
      </c>
      <c r="H1082" s="7" t="str">
        <f>T("20070201")</f>
        <v>20070201</v>
      </c>
      <c r="I1082" s="7">
        <v>22</v>
      </c>
      <c r="J1082" s="7">
        <v>132</v>
      </c>
      <c r="K1082" s="9" t="s">
        <v>111</v>
      </c>
    </row>
    <row r="1083" spans="1:11" x14ac:dyDescent="0.25">
      <c r="A1083" s="5">
        <v>1072</v>
      </c>
      <c r="B1083" s="5">
        <v>102</v>
      </c>
      <c r="C1083" s="10" t="s">
        <v>653</v>
      </c>
      <c r="D1083" s="7" t="s">
        <v>2384</v>
      </c>
      <c r="E1083" s="8" t="str">
        <f>T("溫柔的嘹亮")</f>
        <v>溫柔的嘹亮</v>
      </c>
      <c r="F1083" s="7" t="s">
        <v>3464</v>
      </c>
      <c r="G1083" s="7" t="str">
        <f t="shared" si="50"/>
        <v>長江文藝</v>
      </c>
      <c r="H1083" s="7" t="str">
        <f>T("20070701")</f>
        <v>20070701</v>
      </c>
      <c r="I1083" s="7">
        <v>25</v>
      </c>
      <c r="J1083" s="7">
        <v>150</v>
      </c>
      <c r="K1083" s="9" t="s">
        <v>1345</v>
      </c>
    </row>
    <row r="1084" spans="1:11" x14ac:dyDescent="0.25">
      <c r="A1084" s="5">
        <v>1073</v>
      </c>
      <c r="B1084" s="5">
        <v>103</v>
      </c>
      <c r="C1084" s="10" t="s">
        <v>654</v>
      </c>
      <c r="D1084" s="7" t="s">
        <v>2385</v>
      </c>
      <c r="E1084" s="8" t="str">
        <f>T("敢自嘲者真名士")</f>
        <v>敢自嘲者真名士</v>
      </c>
      <c r="F1084" s="7" t="s">
        <v>3465</v>
      </c>
      <c r="G1084" s="7" t="str">
        <f t="shared" si="50"/>
        <v>長江文藝</v>
      </c>
      <c r="H1084" s="7" t="str">
        <f>T("20080201")</f>
        <v>20080201</v>
      </c>
      <c r="I1084" s="7">
        <v>25</v>
      </c>
      <c r="J1084" s="7">
        <v>150</v>
      </c>
      <c r="K1084" s="9" t="s">
        <v>111</v>
      </c>
    </row>
    <row r="1085" spans="1:11" x14ac:dyDescent="0.25">
      <c r="A1085" s="5">
        <v>1074</v>
      </c>
      <c r="B1085" s="5">
        <v>104</v>
      </c>
      <c r="C1085" s="10" t="s">
        <v>655</v>
      </c>
      <c r="D1085" s="7" t="s">
        <v>2386</v>
      </c>
      <c r="E1085" s="8" t="str">
        <f>T("陪你到最後")</f>
        <v>陪你到最後</v>
      </c>
      <c r="F1085" s="7" t="s">
        <v>3466</v>
      </c>
      <c r="G1085" s="7" t="str">
        <f t="shared" si="50"/>
        <v>長江文藝</v>
      </c>
      <c r="H1085" s="7" t="str">
        <f>T("20081201")</f>
        <v>20081201</v>
      </c>
      <c r="I1085" s="7">
        <v>28</v>
      </c>
      <c r="J1085" s="7">
        <v>168</v>
      </c>
      <c r="K1085" s="9" t="s">
        <v>1345</v>
      </c>
    </row>
    <row r="1086" spans="1:11" x14ac:dyDescent="0.25">
      <c r="A1086" s="5">
        <v>1075</v>
      </c>
      <c r="B1086" s="5">
        <v>105</v>
      </c>
      <c r="C1086" s="10" t="s">
        <v>407</v>
      </c>
      <c r="D1086" s="7" t="s">
        <v>2387</v>
      </c>
      <c r="E1086" s="8" t="str">
        <f>T("直到最後一句")</f>
        <v>直到最後一句</v>
      </c>
      <c r="F1086" s="7" t="s">
        <v>3467</v>
      </c>
      <c r="G1086" s="7" t="str">
        <f t="shared" si="50"/>
        <v>長江文藝</v>
      </c>
      <c r="H1086" s="7" t="str">
        <f>T("20100901")</f>
        <v>20100901</v>
      </c>
      <c r="I1086" s="7">
        <v>24.8</v>
      </c>
      <c r="J1086" s="7">
        <v>149</v>
      </c>
      <c r="K1086" s="9" t="s">
        <v>111</v>
      </c>
    </row>
    <row r="1087" spans="1:11" x14ac:dyDescent="0.25">
      <c r="A1087" s="5">
        <v>1076</v>
      </c>
      <c r="B1087" s="5">
        <v>106</v>
      </c>
      <c r="C1087" s="10" t="s">
        <v>408</v>
      </c>
      <c r="D1087" s="7" t="s">
        <v>2388</v>
      </c>
      <c r="E1087" s="8" t="str">
        <f>T("錦葵")</f>
        <v>錦葵</v>
      </c>
      <c r="F1087" s="7" t="s">
        <v>3468</v>
      </c>
      <c r="G1087" s="7" t="str">
        <f t="shared" si="50"/>
        <v>長江文藝</v>
      </c>
      <c r="H1087" s="7" t="str">
        <f>T("20100601")</f>
        <v>20100601</v>
      </c>
      <c r="I1087" s="7">
        <v>24.8</v>
      </c>
      <c r="J1087" s="7">
        <v>149</v>
      </c>
      <c r="K1087" s="9" t="s">
        <v>111</v>
      </c>
    </row>
    <row r="1088" spans="1:11" x14ac:dyDescent="0.25">
      <c r="A1088" s="5">
        <v>1077</v>
      </c>
      <c r="B1088" s="5">
        <v>107</v>
      </c>
      <c r="C1088" s="10" t="s">
        <v>661</v>
      </c>
      <c r="D1088" s="7" t="s">
        <v>2389</v>
      </c>
      <c r="E1088" s="8" t="str">
        <f>T("玉溪年華")</f>
        <v>玉溪年華</v>
      </c>
      <c r="F1088" s="7" t="s">
        <v>3469</v>
      </c>
      <c r="G1088" s="7" t="str">
        <f>T("湖南少兒")</f>
        <v>湖南少兒</v>
      </c>
      <c r="H1088" s="7" t="str">
        <f>T("20080901")</f>
        <v>20080901</v>
      </c>
      <c r="I1088" s="7">
        <v>24</v>
      </c>
      <c r="J1088" s="7">
        <v>144</v>
      </c>
      <c r="K1088" s="9" t="s">
        <v>111</v>
      </c>
    </row>
    <row r="1089" spans="1:11" x14ac:dyDescent="0.25">
      <c r="A1089" s="5">
        <v>1078</v>
      </c>
      <c r="B1089" s="5">
        <v>108</v>
      </c>
      <c r="C1089" s="10" t="s">
        <v>662</v>
      </c>
      <c r="D1089" s="7" t="s">
        <v>2390</v>
      </c>
      <c r="E1089" s="8" t="str">
        <f>T("易學離")</f>
        <v>易學離</v>
      </c>
      <c r="F1089" s="7" t="s">
        <v>3470</v>
      </c>
      <c r="G1089" s="7" t="str">
        <f>T("湖南少兒")</f>
        <v>湖南少兒</v>
      </c>
      <c r="H1089" s="7" t="str">
        <f>T("20080901")</f>
        <v>20080901</v>
      </c>
      <c r="I1089" s="7">
        <v>24</v>
      </c>
      <c r="J1089" s="7">
        <v>144</v>
      </c>
      <c r="K1089" s="9" t="s">
        <v>111</v>
      </c>
    </row>
    <row r="1090" spans="1:11" x14ac:dyDescent="0.25">
      <c r="A1090" s="5">
        <v>1079</v>
      </c>
      <c r="B1090" s="5">
        <v>109</v>
      </c>
      <c r="C1090" s="10" t="s">
        <v>410</v>
      </c>
      <c r="D1090" s="7" t="s">
        <v>2391</v>
      </c>
      <c r="E1090" s="8" t="str">
        <f>T("珍腴記-上下冊")</f>
        <v>珍腴記-上下冊</v>
      </c>
      <c r="F1090" s="7" t="s">
        <v>3471</v>
      </c>
      <c r="G1090" s="7" t="str">
        <f>T("花城")</f>
        <v>花城</v>
      </c>
      <c r="H1090" s="7" t="str">
        <f>T("20091001")</f>
        <v>20091001</v>
      </c>
      <c r="I1090" s="7">
        <v>48</v>
      </c>
      <c r="J1090" s="7">
        <v>288</v>
      </c>
      <c r="K1090" s="9" t="s">
        <v>111</v>
      </c>
    </row>
    <row r="1091" spans="1:11" x14ac:dyDescent="0.25">
      <c r="A1091" s="5">
        <v>1080</v>
      </c>
      <c r="B1091" s="5">
        <v>110</v>
      </c>
      <c r="C1091" s="10" t="s">
        <v>411</v>
      </c>
      <c r="D1091" s="7" t="s">
        <v>2392</v>
      </c>
      <c r="E1091" s="8" t="str">
        <f>T("黃梅雨")</f>
        <v>黃梅雨</v>
      </c>
      <c r="F1091" s="7" t="s">
        <v>3472</v>
      </c>
      <c r="G1091" s="7" t="str">
        <f>T("嶺南美術")</f>
        <v>嶺南美術</v>
      </c>
      <c r="H1091" s="7" t="str">
        <f>T("20100201")</f>
        <v>20100201</v>
      </c>
      <c r="I1091" s="7">
        <v>38</v>
      </c>
      <c r="J1091" s="7">
        <v>228</v>
      </c>
      <c r="K1091" s="9" t="s">
        <v>111</v>
      </c>
    </row>
    <row r="1092" spans="1:11" x14ac:dyDescent="0.25">
      <c r="A1092" s="5">
        <v>1081</v>
      </c>
      <c r="B1092" s="5">
        <v>111</v>
      </c>
      <c r="C1092" s="10" t="s">
        <v>667</v>
      </c>
      <c r="D1092" s="7" t="s">
        <v>2393</v>
      </c>
      <c r="E1092" s="8" t="str">
        <f>T("超越雅俗")</f>
        <v>超越雅俗</v>
      </c>
      <c r="F1092" s="7" t="s">
        <v>3464</v>
      </c>
      <c r="G1092" s="7" t="str">
        <f>T("重慶")</f>
        <v>重慶</v>
      </c>
      <c r="H1092" s="7" t="str">
        <f>T("20081001")</f>
        <v>20081001</v>
      </c>
      <c r="I1092" s="7">
        <v>23</v>
      </c>
      <c r="J1092" s="7">
        <v>138</v>
      </c>
      <c r="K1092" s="9" t="s">
        <v>1345</v>
      </c>
    </row>
    <row r="1093" spans="1:11" x14ac:dyDescent="0.25">
      <c r="A1093" s="5">
        <v>1082</v>
      </c>
      <c r="B1093" s="5">
        <v>112</v>
      </c>
      <c r="C1093" s="10" t="s">
        <v>313</v>
      </c>
      <c r="D1093" s="7" t="s">
        <v>2394</v>
      </c>
      <c r="E1093" s="8" t="str">
        <f>T("天厚集")</f>
        <v>天厚集</v>
      </c>
      <c r="F1093" s="7" t="s">
        <v>1962</v>
      </c>
      <c r="G1093" s="7" t="str">
        <f>T("新疆教育")</f>
        <v>新疆教育</v>
      </c>
      <c r="H1093" s="7" t="str">
        <f>T("20110501")</f>
        <v>20110501</v>
      </c>
      <c r="I1093" s="7">
        <v>28</v>
      </c>
      <c r="J1093" s="7">
        <v>168</v>
      </c>
      <c r="K1093" s="9" t="s">
        <v>1345</v>
      </c>
    </row>
    <row r="1094" spans="1:11" x14ac:dyDescent="0.25">
      <c r="A1094" s="5">
        <v>1083</v>
      </c>
      <c r="B1094" s="5">
        <v>113</v>
      </c>
      <c r="C1094" s="10" t="s">
        <v>15</v>
      </c>
      <c r="D1094" s="7" t="s">
        <v>2395</v>
      </c>
      <c r="E1094" s="8" t="str">
        <f>T("羊皮鼓譯叢-金隅")</f>
        <v>羊皮鼓譯叢-金隅</v>
      </c>
      <c r="F1094" s="7" t="s">
        <v>1962</v>
      </c>
      <c r="G1094" s="7" t="str">
        <f>T("新疆青少年")</f>
        <v>新疆青少年</v>
      </c>
      <c r="H1094" s="7" t="str">
        <f>T("20080101")</f>
        <v>20080101</v>
      </c>
      <c r="I1094" s="7">
        <v>26</v>
      </c>
      <c r="J1094" s="7">
        <v>156</v>
      </c>
      <c r="K1094" s="9" t="s">
        <v>1345</v>
      </c>
    </row>
    <row r="1095" spans="1:11" x14ac:dyDescent="0.25">
      <c r="A1095" s="5">
        <v>1084</v>
      </c>
      <c r="B1095" s="5">
        <v>114</v>
      </c>
      <c r="C1095" s="10" t="s">
        <v>16</v>
      </c>
      <c r="D1095" s="7" t="s">
        <v>2396</v>
      </c>
      <c r="E1095" s="8" t="str">
        <f>T("命運之書－最後一個艾提琳人")</f>
        <v>命運之書－最後一個艾提琳人</v>
      </c>
      <c r="F1095" s="7" t="s">
        <v>1962</v>
      </c>
      <c r="G1095" s="7" t="str">
        <f>T("新疆青少年")</f>
        <v>新疆青少年</v>
      </c>
      <c r="H1095" s="7" t="str">
        <f>T("20080101")</f>
        <v>20080101</v>
      </c>
      <c r="I1095" s="7">
        <v>29.8</v>
      </c>
      <c r="J1095" s="7">
        <v>179</v>
      </c>
      <c r="K1095" s="9" t="s">
        <v>1345</v>
      </c>
    </row>
    <row r="1096" spans="1:11" x14ac:dyDescent="0.25">
      <c r="A1096" s="5">
        <v>1085</v>
      </c>
      <c r="B1096" s="5">
        <v>115</v>
      </c>
      <c r="C1096" s="10" t="s">
        <v>17</v>
      </c>
      <c r="D1096" s="7" t="s">
        <v>2397</v>
      </c>
      <c r="E1096" s="8" t="str">
        <f>T("單眼皮")</f>
        <v>單眼皮</v>
      </c>
      <c r="F1096" s="7" t="s">
        <v>1962</v>
      </c>
      <c r="G1096" s="7" t="str">
        <f>T("新疆青少年")</f>
        <v>新疆青少年</v>
      </c>
      <c r="H1096" s="7" t="str">
        <f>T("20080101")</f>
        <v>20080101</v>
      </c>
      <c r="I1096" s="7">
        <v>15.8</v>
      </c>
      <c r="J1096" s="7">
        <v>95</v>
      </c>
      <c r="K1096" s="9" t="s">
        <v>1345</v>
      </c>
    </row>
    <row r="1097" spans="1:11" x14ac:dyDescent="0.25">
      <c r="A1097" s="5">
        <v>1086</v>
      </c>
      <c r="B1097" s="5">
        <v>116</v>
      </c>
      <c r="C1097" s="10" t="s">
        <v>19</v>
      </c>
      <c r="D1097" s="7" t="s">
        <v>2398</v>
      </c>
      <c r="E1097" s="8" t="str">
        <f>T("絕地勘探-大漠蒼狼")</f>
        <v>絕地勘探-大漠蒼狼</v>
      </c>
      <c r="F1097" s="7" t="s">
        <v>3473</v>
      </c>
      <c r="G1097" s="7" t="str">
        <f>T("時代文藝")</f>
        <v>時代文藝</v>
      </c>
      <c r="H1097" s="7" t="str">
        <f>T("20100401")</f>
        <v>20100401</v>
      </c>
      <c r="I1097" s="7">
        <v>26.8</v>
      </c>
      <c r="J1097" s="7">
        <v>161</v>
      </c>
      <c r="K1097" s="9" t="s">
        <v>1345</v>
      </c>
    </row>
    <row r="1098" spans="1:11" x14ac:dyDescent="0.25">
      <c r="A1098" s="5">
        <v>1087</v>
      </c>
      <c r="B1098" s="5">
        <v>117</v>
      </c>
      <c r="C1098" s="10" t="s">
        <v>680</v>
      </c>
      <c r="D1098" s="7" t="s">
        <v>2399</v>
      </c>
      <c r="E1098" s="8" t="str">
        <f>T("黃土-張承志的放浪筆記")</f>
        <v>黃土-張承志的放浪筆記</v>
      </c>
      <c r="F1098" s="7" t="s">
        <v>3474</v>
      </c>
      <c r="G1098" s="7" t="str">
        <f>T("江蘇文藝")</f>
        <v>江蘇文藝</v>
      </c>
      <c r="H1098" s="7" t="str">
        <f>T("20090101")</f>
        <v>20090101</v>
      </c>
      <c r="I1098" s="7">
        <v>18</v>
      </c>
      <c r="J1098" s="7">
        <v>108</v>
      </c>
      <c r="K1098" s="9" t="s">
        <v>1345</v>
      </c>
    </row>
    <row r="1099" spans="1:11" x14ac:dyDescent="0.25">
      <c r="A1099" s="5">
        <v>1088</v>
      </c>
      <c r="B1099" s="5">
        <v>118</v>
      </c>
      <c r="C1099" s="10" t="s">
        <v>681</v>
      </c>
      <c r="D1099" s="7" t="s">
        <v>2400</v>
      </c>
      <c r="E1099" s="8" t="str">
        <f>T("左邊毛澤東時代的抒情詩人")</f>
        <v>左邊毛澤東時代的抒情詩人</v>
      </c>
      <c r="F1099" s="7" t="s">
        <v>3475</v>
      </c>
      <c r="G1099" s="7" t="str">
        <f>T("江蘇文藝")</f>
        <v>江蘇文藝</v>
      </c>
      <c r="H1099" s="7" t="str">
        <f>T("20090401")</f>
        <v>20090401</v>
      </c>
      <c r="I1099" s="7">
        <v>28</v>
      </c>
      <c r="J1099" s="7">
        <v>168</v>
      </c>
      <c r="K1099" s="9" t="s">
        <v>111</v>
      </c>
    </row>
    <row r="1100" spans="1:11" x14ac:dyDescent="0.25">
      <c r="A1100" s="5">
        <v>1089</v>
      </c>
      <c r="B1100" s="5">
        <v>119</v>
      </c>
      <c r="C1100" s="10" t="s">
        <v>682</v>
      </c>
      <c r="D1100" s="7" t="s">
        <v>2401</v>
      </c>
      <c r="E1100" s="8" t="str">
        <f>T("豔歌行-三重戀-全兩冊")</f>
        <v>豔歌行-三重戀-全兩冊</v>
      </c>
      <c r="F1100" s="7" t="s">
        <v>3476</v>
      </c>
      <c r="G1100" s="7" t="str">
        <f>T("江蘇文藝")</f>
        <v>江蘇文藝</v>
      </c>
      <c r="H1100" s="7" t="str">
        <f>T("20100101")</f>
        <v>20100101</v>
      </c>
      <c r="I1100" s="7">
        <v>52</v>
      </c>
      <c r="J1100" s="7">
        <v>312</v>
      </c>
      <c r="K1100" s="9" t="s">
        <v>1345</v>
      </c>
    </row>
    <row r="1101" spans="1:11" x14ac:dyDescent="0.25">
      <c r="A1101" s="5">
        <v>1090</v>
      </c>
      <c r="B1101" s="5">
        <v>120</v>
      </c>
      <c r="C1101" s="10" t="s">
        <v>684</v>
      </c>
      <c r="D1101" s="7" t="s">
        <v>2402</v>
      </c>
      <c r="E1101" s="8" t="str">
        <f>T("夜凝夕")</f>
        <v>夜凝夕</v>
      </c>
      <c r="F1101" s="7" t="s">
        <v>3477</v>
      </c>
      <c r="G1101" s="7" t="str">
        <f>T("北京燕山")</f>
        <v>北京燕山</v>
      </c>
      <c r="H1101" s="7" t="str">
        <f>T("20100901")</f>
        <v>20100901</v>
      </c>
      <c r="I1101" s="7">
        <v>28</v>
      </c>
      <c r="J1101" s="7">
        <v>168</v>
      </c>
      <c r="K1101" s="9" t="s">
        <v>111</v>
      </c>
    </row>
    <row r="1102" spans="1:11" x14ac:dyDescent="0.25">
      <c r="A1102" s="5">
        <v>1091</v>
      </c>
      <c r="B1102" s="5">
        <v>121</v>
      </c>
      <c r="C1102" s="10" t="s">
        <v>189</v>
      </c>
      <c r="D1102" s="7" t="s">
        <v>2403</v>
      </c>
      <c r="E1102" s="8" t="str">
        <f>T("蒼狼秘史")</f>
        <v>蒼狼秘史</v>
      </c>
      <c r="F1102" s="7" t="s">
        <v>3478</v>
      </c>
      <c r="G1102" s="7" t="str">
        <f>T("崇文書局")</f>
        <v>崇文書局</v>
      </c>
      <c r="H1102" s="7" t="str">
        <f>T("20090701")</f>
        <v>20090701</v>
      </c>
      <c r="I1102" s="7">
        <v>32.799999999999997</v>
      </c>
      <c r="J1102" s="7">
        <v>197</v>
      </c>
      <c r="K1102" s="9" t="s">
        <v>1345</v>
      </c>
    </row>
    <row r="1103" spans="1:11" x14ac:dyDescent="0.25">
      <c r="A1103" s="5">
        <v>1092</v>
      </c>
      <c r="B1103" s="5">
        <v>122</v>
      </c>
      <c r="C1103" s="10" t="s">
        <v>191</v>
      </c>
      <c r="D1103" s="7" t="s">
        <v>2404</v>
      </c>
      <c r="E1103" s="8" t="str">
        <f>T("難以消逝的思想煙雲")</f>
        <v>難以消逝的思想煙雲</v>
      </c>
      <c r="F1103" s="7" t="s">
        <v>3479</v>
      </c>
      <c r="G1103" s="7" t="str">
        <f>T("雲南教育")</f>
        <v>雲南教育</v>
      </c>
      <c r="H1103" s="7" t="str">
        <f>T("20090501")</f>
        <v>20090501</v>
      </c>
      <c r="I1103" s="7">
        <v>28</v>
      </c>
      <c r="J1103" s="7">
        <v>168</v>
      </c>
      <c r="K1103" s="9" t="s">
        <v>1345</v>
      </c>
    </row>
    <row r="1104" spans="1:11" x14ac:dyDescent="0.25">
      <c r="A1104" s="5">
        <v>1093</v>
      </c>
      <c r="B1104" s="5">
        <v>123</v>
      </c>
      <c r="C1104" s="10" t="s">
        <v>706</v>
      </c>
      <c r="D1104" s="7" t="s">
        <v>2405</v>
      </c>
      <c r="E1104" s="8" t="str">
        <f>T("我的生平:吉亞科莫.卡薩諾瓦自傳")</f>
        <v>我的生平:吉亞科莫.卡薩諾瓦自傳</v>
      </c>
      <c r="F1104" s="7" t="s">
        <v>2616</v>
      </c>
      <c r="G1104" s="7" t="str">
        <f>T("上海三聯")</f>
        <v>上海三聯</v>
      </c>
      <c r="H1104" s="7" t="str">
        <f>T("20070401")</f>
        <v>20070401</v>
      </c>
      <c r="I1104" s="7">
        <v>39</v>
      </c>
      <c r="J1104" s="7">
        <v>228</v>
      </c>
      <c r="K1104" s="9" t="s">
        <v>111</v>
      </c>
    </row>
    <row r="1105" spans="1:11" ht="28.5" x14ac:dyDescent="0.25">
      <c r="A1105" s="5">
        <v>1094</v>
      </c>
      <c r="B1105" s="5">
        <v>124</v>
      </c>
      <c r="C1105" s="10" t="s">
        <v>708</v>
      </c>
      <c r="D1105" s="7" t="s">
        <v>2406</v>
      </c>
      <c r="E1105" s="8" t="str">
        <f>T("那些傷過痛過的往事：1946-1956中國最後一個秀才家庭的千封家書")</f>
        <v>那些傷過痛過的往事：1946-1956中國最後一個秀才家庭的千封家書</v>
      </c>
      <c r="F1105" s="7" t="s">
        <v>3480</v>
      </c>
      <c r="G1105" s="7" t="str">
        <f>T("上海三聯")</f>
        <v>上海三聯</v>
      </c>
      <c r="H1105" s="7" t="str">
        <f>T("20110601")</f>
        <v>20110601</v>
      </c>
      <c r="I1105" s="7">
        <v>28</v>
      </c>
      <c r="J1105" s="7">
        <v>168</v>
      </c>
      <c r="K1105" s="9" t="s">
        <v>111</v>
      </c>
    </row>
    <row r="1106" spans="1:11" x14ac:dyDescent="0.25">
      <c r="A1106" s="5">
        <v>1095</v>
      </c>
      <c r="B1106" s="5">
        <v>125</v>
      </c>
      <c r="C1106" s="10" t="s">
        <v>709</v>
      </c>
      <c r="D1106" s="7" t="s">
        <v>2407</v>
      </c>
      <c r="E1106" s="8" t="str">
        <f>T("第一卷 現代小說")</f>
        <v>第一卷 現代小說</v>
      </c>
      <c r="F1106" s="7" t="s">
        <v>3481</v>
      </c>
      <c r="G1106" s="7" t="str">
        <f>T("武漢")</f>
        <v>武漢</v>
      </c>
      <c r="H1106" s="7" t="str">
        <f>T("20090801")</f>
        <v>20090801</v>
      </c>
      <c r="I1106" s="7">
        <v>30</v>
      </c>
      <c r="J1106" s="7">
        <v>180</v>
      </c>
      <c r="K1106" s="9" t="s">
        <v>1345</v>
      </c>
    </row>
    <row r="1107" spans="1:11" x14ac:dyDescent="0.25">
      <c r="A1107" s="5">
        <v>1096</v>
      </c>
      <c r="B1107" s="5">
        <v>126</v>
      </c>
      <c r="C1107" s="10" t="s">
        <v>710</v>
      </c>
      <c r="D1107" s="7" t="s">
        <v>2408</v>
      </c>
      <c r="E1107" s="8" t="str">
        <f>T("第三卷 當代小說")</f>
        <v>第三卷 當代小說</v>
      </c>
      <c r="F1107" s="7" t="s">
        <v>3481</v>
      </c>
      <c r="G1107" s="7" t="str">
        <f>T("武漢")</f>
        <v>武漢</v>
      </c>
      <c r="H1107" s="7" t="str">
        <f>T("20090801")</f>
        <v>20090801</v>
      </c>
      <c r="I1107" s="7">
        <v>31</v>
      </c>
      <c r="J1107" s="7">
        <v>186</v>
      </c>
      <c r="K1107" s="9" t="s">
        <v>1345</v>
      </c>
    </row>
    <row r="1108" spans="1:11" x14ac:dyDescent="0.25">
      <c r="A1108" s="5">
        <v>1097</v>
      </c>
      <c r="B1108" s="5">
        <v>127</v>
      </c>
      <c r="C1108" s="10" t="s">
        <v>711</v>
      </c>
      <c r="D1108" s="7" t="s">
        <v>2409</v>
      </c>
      <c r="E1108" s="8" t="str">
        <f>T("第四卷 當代詩歌.散文.戲劇")</f>
        <v>第四卷 當代詩歌.散文.戲劇</v>
      </c>
      <c r="F1108" s="7" t="s">
        <v>3481</v>
      </c>
      <c r="G1108" s="7" t="str">
        <f>T("武漢")</f>
        <v>武漢</v>
      </c>
      <c r="H1108" s="7" t="str">
        <f>T("20090801")</f>
        <v>20090801</v>
      </c>
      <c r="I1108" s="7">
        <v>30</v>
      </c>
      <c r="J1108" s="7">
        <v>180</v>
      </c>
      <c r="K1108" s="9" t="s">
        <v>1345</v>
      </c>
    </row>
    <row r="1109" spans="1:11" x14ac:dyDescent="0.25">
      <c r="A1109" s="5">
        <v>1098</v>
      </c>
      <c r="B1109" s="5">
        <v>128</v>
      </c>
      <c r="C1109" s="10" t="s">
        <v>712</v>
      </c>
      <c r="D1109" s="7" t="s">
        <v>2410</v>
      </c>
      <c r="E1109" s="8" t="str">
        <f>T("捨命的兒子(長篇小說)")</f>
        <v>捨命的兒子(長篇小說)</v>
      </c>
      <c r="F1109" s="7" t="s">
        <v>3482</v>
      </c>
      <c r="G1109" s="7" t="str">
        <f>T("武漢")</f>
        <v>武漢</v>
      </c>
      <c r="H1109" s="7" t="str">
        <f>T("20081001")</f>
        <v>20081001</v>
      </c>
      <c r="I1109" s="7">
        <v>32</v>
      </c>
      <c r="J1109" s="7">
        <v>192</v>
      </c>
      <c r="K1109" s="9" t="s">
        <v>1345</v>
      </c>
    </row>
    <row r="1110" spans="1:11" x14ac:dyDescent="0.25">
      <c r="A1110" s="5">
        <v>1099</v>
      </c>
      <c r="B1110" s="5">
        <v>129</v>
      </c>
      <c r="C1110" s="10" t="s">
        <v>235</v>
      </c>
      <c r="D1110" s="7" t="s">
        <v>2411</v>
      </c>
      <c r="E1110" s="8" t="str">
        <f>T("預言殺意的宋詞")</f>
        <v>預言殺意的宋詞</v>
      </c>
      <c r="F1110" s="7" t="s">
        <v>3483</v>
      </c>
      <c r="G1110" s="7" t="str">
        <f>T("瀋陽")</f>
        <v>瀋陽</v>
      </c>
      <c r="H1110" s="7" t="str">
        <f>T("20101101")</f>
        <v>20101101</v>
      </c>
      <c r="I1110" s="7">
        <v>24.8</v>
      </c>
      <c r="J1110" s="7">
        <v>149</v>
      </c>
      <c r="K1110" s="9" t="s">
        <v>111</v>
      </c>
    </row>
    <row r="1111" spans="1:11" x14ac:dyDescent="0.25">
      <c r="A1111" s="5">
        <v>1100</v>
      </c>
      <c r="B1111" s="5">
        <v>130</v>
      </c>
      <c r="C1111" s="10" t="s">
        <v>835</v>
      </c>
      <c r="D1111" s="7" t="s">
        <v>2412</v>
      </c>
      <c r="E1111" s="8" t="str">
        <f>T("首席女法醫(新經典文庫)")</f>
        <v>首席女法醫(新經典文庫)</v>
      </c>
      <c r="F1111" s="7" t="s">
        <v>3484</v>
      </c>
      <c r="G1111" s="7" t="str">
        <f>T("南海")</f>
        <v>南海</v>
      </c>
      <c r="H1111" s="7" t="str">
        <f>T("20090401")</f>
        <v>20090401</v>
      </c>
      <c r="I1111" s="7">
        <v>25</v>
      </c>
      <c r="J1111" s="7">
        <v>150</v>
      </c>
      <c r="K1111" s="9" t="s">
        <v>111</v>
      </c>
    </row>
    <row r="1112" spans="1:11" x14ac:dyDescent="0.25">
      <c r="A1112" s="5">
        <v>1101</v>
      </c>
      <c r="B1112" s="5">
        <v>131</v>
      </c>
      <c r="C1112" s="10" t="s">
        <v>890</v>
      </c>
      <c r="D1112" s="7" t="s">
        <v>2413</v>
      </c>
      <c r="E1112" s="8" t="str">
        <f>T("三日長過百年")</f>
        <v>三日長過百年</v>
      </c>
      <c r="F1112" s="7" t="s">
        <v>3485</v>
      </c>
      <c r="G1112" s="7" t="str">
        <f>T("天地")</f>
        <v>天地</v>
      </c>
      <c r="H1112" s="7" t="str">
        <f>T("20090501")</f>
        <v>20090501</v>
      </c>
      <c r="I1112" s="7">
        <v>29</v>
      </c>
      <c r="J1112" s="7">
        <v>174</v>
      </c>
      <c r="K1112" s="9" t="s">
        <v>1345</v>
      </c>
    </row>
    <row r="1113" spans="1:11" x14ac:dyDescent="0.25">
      <c r="A1113" s="5">
        <v>1102</v>
      </c>
      <c r="B1113" s="5">
        <v>132</v>
      </c>
      <c r="C1113" s="10" t="s">
        <v>898</v>
      </c>
      <c r="D1113" s="7" t="s">
        <v>2414</v>
      </c>
      <c r="E1113" s="8" t="str">
        <f>T("當家花旦")</f>
        <v>當家花旦</v>
      </c>
      <c r="F1113" s="7" t="s">
        <v>1962</v>
      </c>
      <c r="G1113" s="7" t="str">
        <f>T("新疆美攝")</f>
        <v>新疆美攝</v>
      </c>
      <c r="H1113" s="7" t="str">
        <f>T("20080201")</f>
        <v>20080201</v>
      </c>
      <c r="I1113" s="7">
        <v>35.6</v>
      </c>
      <c r="J1113" s="7">
        <v>214</v>
      </c>
      <c r="K1113" s="9" t="s">
        <v>1345</v>
      </c>
    </row>
    <row r="1114" spans="1:11" x14ac:dyDescent="0.25">
      <c r="A1114" s="5">
        <v>1103</v>
      </c>
      <c r="B1114" s="5">
        <v>133</v>
      </c>
      <c r="C1114" s="10" t="s">
        <v>517</v>
      </c>
      <c r="D1114" s="7" t="s">
        <v>2415</v>
      </c>
      <c r="E1114" s="8" t="str">
        <f>T("克拉拉")</f>
        <v>克拉拉</v>
      </c>
      <c r="F1114" s="7" t="s">
        <v>1962</v>
      </c>
      <c r="G1114" s="7" t="str">
        <f>T("新疆美攝")</f>
        <v>新疆美攝</v>
      </c>
      <c r="H1114" s="7" t="str">
        <f>T("20080201")</f>
        <v>20080201</v>
      </c>
      <c r="I1114" s="7">
        <v>39</v>
      </c>
      <c r="J1114" s="7">
        <v>234</v>
      </c>
      <c r="K1114" s="9" t="s">
        <v>1345</v>
      </c>
    </row>
    <row r="1115" spans="1:11" x14ac:dyDescent="0.25">
      <c r="A1115" s="5">
        <v>1104</v>
      </c>
      <c r="B1115" s="5">
        <v>134</v>
      </c>
      <c r="C1115" s="10" t="s">
        <v>525</v>
      </c>
      <c r="D1115" s="7" t="s">
        <v>2416</v>
      </c>
      <c r="E1115" s="8" t="str">
        <f>T("趕大營")</f>
        <v>趕大營</v>
      </c>
      <c r="F1115" s="7" t="s">
        <v>1962</v>
      </c>
      <c r="G1115" s="7" t="str">
        <f>T("新疆美攝")</f>
        <v>新疆美攝</v>
      </c>
      <c r="H1115" s="7" t="str">
        <f>T("20120701")</f>
        <v>20120701</v>
      </c>
      <c r="I1115" s="7">
        <v>26.8</v>
      </c>
      <c r="J1115" s="7">
        <v>161</v>
      </c>
      <c r="K1115" s="9" t="s">
        <v>1345</v>
      </c>
    </row>
    <row r="1116" spans="1:11" x14ac:dyDescent="0.25">
      <c r="A1116" s="5">
        <v>1105</v>
      </c>
      <c r="B1116" s="5">
        <v>135</v>
      </c>
      <c r="C1116" s="10" t="s">
        <v>531</v>
      </c>
      <c r="D1116" s="7" t="s">
        <v>2417</v>
      </c>
      <c r="E1116" s="8" t="str">
        <f>T("女媧的面具")</f>
        <v>女媧的面具</v>
      </c>
      <c r="F1116" s="7" t="s">
        <v>1962</v>
      </c>
      <c r="G1116" s="7" t="str">
        <f>T("新疆美攝")</f>
        <v>新疆美攝</v>
      </c>
      <c r="H1116" s="7" t="str">
        <f>T("20120601")</f>
        <v>20120601</v>
      </c>
      <c r="I1116" s="7">
        <v>26</v>
      </c>
      <c r="J1116" s="7">
        <v>156</v>
      </c>
      <c r="K1116" s="9" t="s">
        <v>1345</v>
      </c>
    </row>
    <row r="1117" spans="1:11" x14ac:dyDescent="0.25">
      <c r="A1117" s="5">
        <v>1106</v>
      </c>
      <c r="B1117" s="5">
        <v>136</v>
      </c>
      <c r="C1117" s="10" t="s">
        <v>899</v>
      </c>
      <c r="D1117" s="7" t="s">
        <v>2418</v>
      </c>
      <c r="E1117" s="8" t="str">
        <f>T("天下狼煙")</f>
        <v>天下狼煙</v>
      </c>
      <c r="F1117" s="7" t="s">
        <v>3486</v>
      </c>
      <c r="G1117" s="7" t="str">
        <f>T("吉林文史")</f>
        <v>吉林文史</v>
      </c>
      <c r="H1117" s="7" t="str">
        <f>T("20101101")</f>
        <v>20101101</v>
      </c>
      <c r="I1117" s="7">
        <v>39.799999999999997</v>
      </c>
      <c r="J1117" s="7">
        <v>239</v>
      </c>
      <c r="K1117" s="9" t="s">
        <v>1345</v>
      </c>
    </row>
    <row r="1118" spans="1:11" x14ac:dyDescent="0.25">
      <c r="A1118" s="5">
        <v>1107</v>
      </c>
      <c r="B1118" s="5">
        <v>137</v>
      </c>
      <c r="C1118" s="10" t="s">
        <v>414</v>
      </c>
      <c r="D1118" s="7" t="s">
        <v>2419</v>
      </c>
      <c r="E1118" s="8" t="str">
        <f>T("命運之書－迷霧之國的王子")</f>
        <v>命運之書－迷霧之國的王子</v>
      </c>
      <c r="F1118" s="7" t="s">
        <v>1962</v>
      </c>
      <c r="G1118" s="7" t="str">
        <f>T("新疆青少年")</f>
        <v>新疆青少年</v>
      </c>
      <c r="H1118" s="7" t="str">
        <f>T("20080101")</f>
        <v>20080101</v>
      </c>
      <c r="I1118" s="7">
        <v>34</v>
      </c>
      <c r="J1118" s="7">
        <v>204</v>
      </c>
      <c r="K1118" s="9" t="s">
        <v>1345</v>
      </c>
    </row>
    <row r="1119" spans="1:11" x14ac:dyDescent="0.25">
      <c r="A1119" s="5">
        <v>1108</v>
      </c>
      <c r="B1119" s="5">
        <v>138</v>
      </c>
      <c r="C1119" s="10" t="s">
        <v>920</v>
      </c>
      <c r="D1119" s="7" t="s">
        <v>2420</v>
      </c>
      <c r="E1119" s="8" t="str">
        <f>T("戰爭畫師")</f>
        <v>戰爭畫師</v>
      </c>
      <c r="F1119" s="7" t="s">
        <v>3487</v>
      </c>
      <c r="G1119" s="7" t="str">
        <f>T("陝西師大")</f>
        <v>陝西師大</v>
      </c>
      <c r="H1119" s="7" t="str">
        <f>T("20090101")</f>
        <v>20090101</v>
      </c>
      <c r="I1119" s="7">
        <v>29.8</v>
      </c>
      <c r="J1119" s="7">
        <v>179</v>
      </c>
      <c r="K1119" s="9" t="s">
        <v>1345</v>
      </c>
    </row>
    <row r="1120" spans="1:11" x14ac:dyDescent="0.25">
      <c r="A1120" s="5">
        <v>1109</v>
      </c>
      <c r="B1120" s="5">
        <v>139</v>
      </c>
      <c r="C1120" s="10" t="s">
        <v>924</v>
      </c>
      <c r="D1120" s="7" t="s">
        <v>2421</v>
      </c>
      <c r="E1120" s="8" t="str">
        <f>T("文學的命脈")</f>
        <v>文學的命脈</v>
      </c>
      <c r="F1120" s="7" t="s">
        <v>2842</v>
      </c>
      <c r="G1120" s="7" t="str">
        <f>T("華東師大")</f>
        <v>華東師大</v>
      </c>
      <c r="H1120" s="7" t="str">
        <f>T("20050101")</f>
        <v>20050101</v>
      </c>
      <c r="I1120" s="7">
        <v>19.8</v>
      </c>
      <c r="J1120" s="7">
        <v>119</v>
      </c>
      <c r="K1120" s="9" t="s">
        <v>1345</v>
      </c>
    </row>
    <row r="1121" spans="1:11" ht="28.5" x14ac:dyDescent="0.25">
      <c r="A1121" s="5">
        <v>1110</v>
      </c>
      <c r="B1121" s="5">
        <v>140</v>
      </c>
      <c r="C1121" s="10" t="s">
        <v>945</v>
      </c>
      <c r="D1121" s="7" t="s">
        <v>2422</v>
      </c>
      <c r="E1121" s="8" t="str">
        <f>T("懷揣毒藥 沖入人群:
讀《野草》劄記（桂）")</f>
        <v>懷揣毒藥 沖入人群:
讀《野草》劄記（桂）</v>
      </c>
      <c r="F1121" s="7" t="s">
        <v>3488</v>
      </c>
      <c r="G1121" s="7" t="str">
        <f>T("廣西師大")</f>
        <v>廣西師大</v>
      </c>
      <c r="H1121" s="7" t="str">
        <f>T("20070801")</f>
        <v>20070801</v>
      </c>
      <c r="I1121" s="7">
        <v>16</v>
      </c>
      <c r="J1121" s="7">
        <v>96</v>
      </c>
      <c r="K1121" s="9" t="s">
        <v>1345</v>
      </c>
    </row>
    <row r="1122" spans="1:11" ht="28.5" x14ac:dyDescent="0.25">
      <c r="A1122" s="5">
        <v>1111</v>
      </c>
      <c r="B1122" s="5">
        <v>141</v>
      </c>
      <c r="C1122" s="10" t="s">
        <v>951</v>
      </c>
      <c r="D1122" s="7" t="s">
        <v>2423</v>
      </c>
      <c r="E1122" s="8" t="str">
        <f>T("懷疑中的接受:張恨水小說中的現代日常生活")</f>
        <v>懷疑中的接受:張恨水小說中的現代日常生活</v>
      </c>
      <c r="F1122" s="7" t="s">
        <v>3489</v>
      </c>
      <c r="G1122" s="7" t="str">
        <f>T("廣西師大")</f>
        <v>廣西師大</v>
      </c>
      <c r="H1122" s="7" t="str">
        <f>T("20100601")</f>
        <v>20100601</v>
      </c>
      <c r="I1122" s="7">
        <v>28</v>
      </c>
      <c r="J1122" s="7">
        <v>168</v>
      </c>
      <c r="K1122" s="9" t="s">
        <v>111</v>
      </c>
    </row>
    <row r="1123" spans="1:11" ht="28.5" x14ac:dyDescent="0.25">
      <c r="A1123" s="5">
        <v>1112</v>
      </c>
      <c r="B1123" s="5">
        <v>142</v>
      </c>
      <c r="C1123" s="10" t="s">
        <v>952</v>
      </c>
      <c r="D1123" s="7" t="s">
        <v>2424</v>
      </c>
      <c r="E1123" s="8" t="str">
        <f>T("中國當代女性文學簡史(中國女性文學文化學科建設叢書)")</f>
        <v>中國當代女性文學簡史(中國女性文學文化學科建設叢書)</v>
      </c>
      <c r="F1123" s="7" t="s">
        <v>3490</v>
      </c>
      <c r="G1123" s="7" t="str">
        <f>T("廣西師大")</f>
        <v>廣西師大</v>
      </c>
      <c r="H1123" s="7" t="str">
        <f>T("20090601")</f>
        <v>20090601</v>
      </c>
      <c r="I1123" s="7">
        <v>30</v>
      </c>
      <c r="J1123" s="7">
        <v>180</v>
      </c>
      <c r="K1123" s="9" t="s">
        <v>1345</v>
      </c>
    </row>
    <row r="1124" spans="1:11" x14ac:dyDescent="0.25">
      <c r="A1124" s="5">
        <v>1113</v>
      </c>
      <c r="B1124" s="5">
        <v>143</v>
      </c>
      <c r="C1124" s="10" t="s">
        <v>1004</v>
      </c>
      <c r="D1124" s="7" t="s">
        <v>2425</v>
      </c>
      <c r="E1124" s="8" t="str">
        <f>T("至死不渝(SKZ)")</f>
        <v>至死不渝(SKZ)</v>
      </c>
      <c r="F1124" s="7" t="s">
        <v>3491</v>
      </c>
      <c r="G1124" s="7" t="str">
        <f>T("群言")</f>
        <v>群言</v>
      </c>
      <c r="H1124" s="7" t="str">
        <f>T("20081001")</f>
        <v>20081001</v>
      </c>
      <c r="I1124" s="7">
        <v>29.8</v>
      </c>
      <c r="J1124" s="7">
        <v>179</v>
      </c>
      <c r="K1124" s="9" t="s">
        <v>111</v>
      </c>
    </row>
    <row r="1125" spans="1:11" x14ac:dyDescent="0.25">
      <c r="A1125" s="5">
        <v>1114</v>
      </c>
      <c r="B1125" s="5">
        <v>144</v>
      </c>
      <c r="C1125" s="10" t="s">
        <v>1006</v>
      </c>
      <c r="D1125" s="7" t="s">
        <v>2426</v>
      </c>
      <c r="E1125" s="8" t="str">
        <f>T("解讀范長江")</f>
        <v>解讀范長江</v>
      </c>
      <c r="F1125" s="7" t="s">
        <v>3492</v>
      </c>
      <c r="G1125" s="7" t="str">
        <f>T("群言")</f>
        <v>群言</v>
      </c>
      <c r="H1125" s="7" t="str">
        <f>T("20090301")</f>
        <v>20090301</v>
      </c>
      <c r="I1125" s="7">
        <v>24</v>
      </c>
      <c r="J1125" s="7">
        <v>144</v>
      </c>
      <c r="K1125" s="9" t="s">
        <v>1345</v>
      </c>
    </row>
    <row r="1126" spans="1:11" ht="28.5" x14ac:dyDescent="0.25">
      <c r="A1126" s="5">
        <v>1115</v>
      </c>
      <c r="B1126" s="5">
        <v>145</v>
      </c>
      <c r="C1126" s="10" t="s">
        <v>187</v>
      </c>
      <c r="D1126" s="7" t="s">
        <v>2427</v>
      </c>
      <c r="E1126" s="8" t="str">
        <f>T("說出你的秘密-一部讓人走出心理困惑的心靈小說")</f>
        <v>說出你的秘密-一部讓人走出心理困惑的心靈小說</v>
      </c>
      <c r="F1126" s="7" t="s">
        <v>3493</v>
      </c>
      <c r="G1126" s="7" t="str">
        <f>T("大眾文藝")</f>
        <v>大眾文藝</v>
      </c>
      <c r="H1126" s="7" t="str">
        <f>T("20100101")</f>
        <v>20100101</v>
      </c>
      <c r="I1126" s="7">
        <v>29.8</v>
      </c>
      <c r="J1126" s="7">
        <v>179</v>
      </c>
      <c r="K1126" s="9" t="s">
        <v>111</v>
      </c>
    </row>
    <row r="1127" spans="1:11" x14ac:dyDescent="0.25">
      <c r="A1127" s="5">
        <v>1116</v>
      </c>
      <c r="B1127" s="5">
        <v>146</v>
      </c>
      <c r="C1127" s="10" t="s">
        <v>1008</v>
      </c>
      <c r="D1127" s="7" t="s">
        <v>2428</v>
      </c>
      <c r="E1127" s="8" t="str">
        <f>T("傷痛無聲:喬安山憶雷鋒")</f>
        <v>傷痛無聲:喬安山憶雷鋒</v>
      </c>
      <c r="F1127" s="7" t="s">
        <v>3494</v>
      </c>
      <c r="G1127" s="7" t="str">
        <f>T("國家行政")</f>
        <v>國家行政</v>
      </c>
      <c r="H1127" s="7" t="str">
        <f>T("20070201")</f>
        <v>20070201</v>
      </c>
      <c r="I1127" s="7">
        <v>19.8</v>
      </c>
      <c r="J1127" s="7">
        <v>119</v>
      </c>
      <c r="K1127" s="9" t="s">
        <v>111</v>
      </c>
    </row>
    <row r="1128" spans="1:11" x14ac:dyDescent="0.25">
      <c r="A1128" s="5">
        <v>1117</v>
      </c>
      <c r="B1128" s="5">
        <v>147</v>
      </c>
      <c r="C1128" s="10" t="s">
        <v>1015</v>
      </c>
      <c r="D1128" s="7" t="s">
        <v>2429</v>
      </c>
      <c r="E1128" s="8" t="str">
        <f>T("唐朝的黑夜2")</f>
        <v>唐朝的黑夜2</v>
      </c>
      <c r="F1128" s="7" t="s">
        <v>3495</v>
      </c>
      <c r="G1128" s="7" t="str">
        <f>T("國際文化")</f>
        <v>國際文化</v>
      </c>
      <c r="H1128" s="7" t="str">
        <f>T("20090201")</f>
        <v>20090201</v>
      </c>
      <c r="I1128" s="7">
        <v>26.8</v>
      </c>
      <c r="J1128" s="7">
        <v>161</v>
      </c>
      <c r="K1128" s="9" t="s">
        <v>111</v>
      </c>
    </row>
    <row r="1129" spans="1:11" x14ac:dyDescent="0.25">
      <c r="A1129" s="5">
        <v>1118</v>
      </c>
      <c r="B1129" s="5">
        <v>148</v>
      </c>
      <c r="C1129" s="10" t="s">
        <v>318</v>
      </c>
      <c r="D1129" s="7" t="s">
        <v>2430</v>
      </c>
      <c r="E1129" s="8" t="str">
        <f>T("膾炙英雄")</f>
        <v>膾炙英雄</v>
      </c>
      <c r="F1129" s="7" t="s">
        <v>3464</v>
      </c>
      <c r="G1129" s="7" t="str">
        <f>T("中國長安")</f>
        <v>中國長安</v>
      </c>
      <c r="H1129" s="7" t="str">
        <f>T("20090101")</f>
        <v>20090101</v>
      </c>
      <c r="I1129" s="7">
        <v>26</v>
      </c>
      <c r="J1129" s="7">
        <v>156</v>
      </c>
      <c r="K1129" s="9" t="s">
        <v>111</v>
      </c>
    </row>
    <row r="1130" spans="1:11" x14ac:dyDescent="0.25">
      <c r="A1130" s="5">
        <v>1119</v>
      </c>
      <c r="B1130" s="5">
        <v>149</v>
      </c>
      <c r="C1130" s="10" t="s">
        <v>1018</v>
      </c>
      <c r="D1130" s="7" t="s">
        <v>2431</v>
      </c>
      <c r="E1130" s="8" t="str">
        <f>T("永遠的驛站")</f>
        <v>永遠的驛站</v>
      </c>
      <c r="F1130" s="7" t="s">
        <v>3496</v>
      </c>
      <c r="G1130" s="7" t="str">
        <f>T("東方中心")</f>
        <v>東方中心</v>
      </c>
      <c r="H1130" s="7" t="str">
        <f>T("20060601")</f>
        <v>20060601</v>
      </c>
      <c r="I1130" s="7">
        <v>22</v>
      </c>
      <c r="J1130" s="7">
        <v>132</v>
      </c>
      <c r="K1130" s="9" t="s">
        <v>111</v>
      </c>
    </row>
    <row r="1131" spans="1:11" x14ac:dyDescent="0.25">
      <c r="A1131" s="5">
        <v>1120</v>
      </c>
      <c r="B1131" s="5">
        <v>150</v>
      </c>
      <c r="C1131" s="10" t="s">
        <v>1020</v>
      </c>
      <c r="D1131" s="7" t="s">
        <v>2432</v>
      </c>
      <c r="E1131" s="8" t="str">
        <f>T("國史札記 事件篇")</f>
        <v>國史札記 事件篇</v>
      </c>
      <c r="F1131" s="7" t="s">
        <v>3267</v>
      </c>
      <c r="G1131" s="7" t="str">
        <f>T("東方出版")</f>
        <v>東方出版</v>
      </c>
      <c r="H1131" s="7" t="str">
        <f>T("")</f>
        <v/>
      </c>
      <c r="I1131" s="7">
        <v>40</v>
      </c>
      <c r="J1131" s="7">
        <v>240</v>
      </c>
      <c r="K1131" s="9" t="s">
        <v>111</v>
      </c>
    </row>
    <row r="1132" spans="1:11" x14ac:dyDescent="0.25">
      <c r="A1132" s="5">
        <v>1121</v>
      </c>
      <c r="B1132" s="5">
        <v>151</v>
      </c>
      <c r="C1132" s="10" t="s">
        <v>65</v>
      </c>
      <c r="D1132" s="7" t="s">
        <v>2433</v>
      </c>
      <c r="E1132" s="8" t="str">
        <f>T("夜不語")</f>
        <v>夜不語</v>
      </c>
      <c r="F1132" s="7" t="s">
        <v>3497</v>
      </c>
      <c r="G1132" s="7" t="str">
        <f>T("中國華僑")</f>
        <v>中國華僑</v>
      </c>
      <c r="H1132" s="7" t="str">
        <f>T("20060701")</f>
        <v>20060701</v>
      </c>
      <c r="I1132" s="7">
        <v>18</v>
      </c>
      <c r="J1132" s="7">
        <v>108</v>
      </c>
      <c r="K1132" s="9" t="s">
        <v>111</v>
      </c>
    </row>
    <row r="1133" spans="1:11" x14ac:dyDescent="0.25">
      <c r="A1133" s="5">
        <v>1122</v>
      </c>
      <c r="B1133" s="5">
        <v>152</v>
      </c>
      <c r="C1133" s="10" t="s">
        <v>1082</v>
      </c>
      <c r="D1133" s="7" t="s">
        <v>2434</v>
      </c>
      <c r="E1133" s="8" t="str">
        <f>T("在歷史的下降線行走")</f>
        <v>在歷史的下降線行走</v>
      </c>
      <c r="F1133" s="7" t="s">
        <v>3498</v>
      </c>
      <c r="G1133" s="7" t="str">
        <f>T("現代")</f>
        <v>現代</v>
      </c>
      <c r="H1133" s="7" t="str">
        <f>T("")</f>
        <v/>
      </c>
      <c r="I1133" s="7">
        <v>25</v>
      </c>
      <c r="J1133" s="7">
        <v>150</v>
      </c>
      <c r="K1133" s="9" t="s">
        <v>111</v>
      </c>
    </row>
    <row r="1134" spans="1:11" x14ac:dyDescent="0.25">
      <c r="A1134" s="5">
        <v>1123</v>
      </c>
      <c r="B1134" s="5">
        <v>153</v>
      </c>
      <c r="C1134" s="10" t="s">
        <v>1090</v>
      </c>
      <c r="D1134" s="7" t="s">
        <v>2435</v>
      </c>
      <c r="E1134" s="8" t="str">
        <f>T("公司")</f>
        <v>公司</v>
      </c>
      <c r="F1134" s="7" t="s">
        <v>3499</v>
      </c>
      <c r="G1134" s="7" t="str">
        <f>T("現代")</f>
        <v>現代</v>
      </c>
      <c r="H1134" s="7" t="str">
        <f>T("")</f>
        <v/>
      </c>
      <c r="I1134" s="7">
        <v>30</v>
      </c>
      <c r="J1134" s="7">
        <v>180</v>
      </c>
      <c r="K1134" s="9" t="s">
        <v>111</v>
      </c>
    </row>
    <row r="1135" spans="1:11" x14ac:dyDescent="0.25">
      <c r="A1135" s="5">
        <v>1124</v>
      </c>
      <c r="B1135" s="5">
        <v>154</v>
      </c>
      <c r="C1135" s="10" t="s">
        <v>1091</v>
      </c>
      <c r="D1135" s="7" t="s">
        <v>2436</v>
      </c>
      <c r="E1135" s="8" t="str">
        <f>T("榜樣的力量")</f>
        <v>榜樣的力量</v>
      </c>
      <c r="F1135" s="7" t="s">
        <v>3500</v>
      </c>
      <c r="G1135" s="7" t="str">
        <f>T("現代")</f>
        <v>現代</v>
      </c>
      <c r="H1135" s="7" t="str">
        <f>T("")</f>
        <v/>
      </c>
      <c r="I1135" s="7">
        <v>23</v>
      </c>
      <c r="J1135" s="7">
        <v>138</v>
      </c>
      <c r="K1135" s="9" t="s">
        <v>111</v>
      </c>
    </row>
    <row r="1136" spans="1:11" x14ac:dyDescent="0.25">
      <c r="A1136" s="5">
        <v>1125</v>
      </c>
      <c r="B1136" s="5">
        <v>155</v>
      </c>
      <c r="C1136" s="10" t="s">
        <v>241</v>
      </c>
      <c r="D1136" s="7" t="s">
        <v>2437</v>
      </c>
      <c r="E1136" s="8" t="str">
        <f>T("沉香屑-第一爐香")</f>
        <v>沉香屑-第一爐香</v>
      </c>
      <c r="F1136" s="7" t="s">
        <v>3501</v>
      </c>
      <c r="G1136" s="7" t="str">
        <f>T("文彙")</f>
        <v>文彙</v>
      </c>
      <c r="H1136" s="7" t="str">
        <f>T("20050801")</f>
        <v>20050801</v>
      </c>
      <c r="I1136" s="7">
        <v>25</v>
      </c>
      <c r="J1136" s="7">
        <v>150</v>
      </c>
      <c r="K1136" s="9" t="s">
        <v>111</v>
      </c>
    </row>
    <row r="1137" spans="1:11" x14ac:dyDescent="0.25">
      <c r="A1137" s="5">
        <v>1126</v>
      </c>
      <c r="B1137" s="5">
        <v>156</v>
      </c>
      <c r="C1137" s="10" t="s">
        <v>1231</v>
      </c>
      <c r="D1137" s="7" t="s">
        <v>2438</v>
      </c>
      <c r="E1137" s="8" t="str">
        <f>T("三挈海上花:張愛玲與韓邦慶")</f>
        <v>三挈海上花:張愛玲與韓邦慶</v>
      </c>
      <c r="F1137" s="7" t="s">
        <v>3502</v>
      </c>
      <c r="G1137" s="7" t="str">
        <f>T("上海書店")</f>
        <v>上海書店</v>
      </c>
      <c r="H1137" s="7" t="str">
        <f>T("20070801")</f>
        <v>20070801</v>
      </c>
      <c r="I1137" s="7">
        <v>22</v>
      </c>
      <c r="J1137" s="7">
        <v>132</v>
      </c>
      <c r="K1137" s="9" t="s">
        <v>111</v>
      </c>
    </row>
    <row r="1138" spans="1:11" x14ac:dyDescent="0.25">
      <c r="A1138" s="5">
        <v>1127</v>
      </c>
      <c r="B1138" s="5">
        <v>157</v>
      </c>
      <c r="C1138" s="10" t="s">
        <v>1234</v>
      </c>
      <c r="D1138" s="7" t="s">
        <v>2439</v>
      </c>
      <c r="E1138" s="8" t="str">
        <f>T("國家寶藏南海鬼穀")</f>
        <v>國家寶藏南海鬼穀</v>
      </c>
      <c r="F1138" s="7" t="s">
        <v>3503</v>
      </c>
      <c r="G1138" s="7" t="str">
        <f>T("太白文藝")</f>
        <v>太白文藝</v>
      </c>
      <c r="H1138" s="7" t="str">
        <f>T("20090301")</f>
        <v>20090301</v>
      </c>
      <c r="I1138" s="7">
        <v>32</v>
      </c>
      <c r="J1138" s="7">
        <v>192</v>
      </c>
      <c r="K1138" s="9" t="s">
        <v>111</v>
      </c>
    </row>
    <row r="1139" spans="1:11" x14ac:dyDescent="0.25">
      <c r="A1139" s="5">
        <v>1128</v>
      </c>
      <c r="B1139" s="5">
        <v>158</v>
      </c>
      <c r="C1139" s="10" t="s">
        <v>462</v>
      </c>
      <c r="D1139" s="7" t="s">
        <v>2440</v>
      </c>
      <c r="E1139" s="8" t="str">
        <f>T("家國書")</f>
        <v>家國書</v>
      </c>
      <c r="F1139" s="7" t="s">
        <v>3504</v>
      </c>
      <c r="G1139" s="7" t="str">
        <f>T("浙江攝影")</f>
        <v>浙江攝影</v>
      </c>
      <c r="H1139" s="7" t="str">
        <f>T("20090301")</f>
        <v>20090301</v>
      </c>
      <c r="I1139" s="7">
        <v>29.8</v>
      </c>
      <c r="J1139" s="7">
        <v>179</v>
      </c>
      <c r="K1139" s="9" t="s">
        <v>1345</v>
      </c>
    </row>
    <row r="1140" spans="1:11" x14ac:dyDescent="0.25">
      <c r="A1140" s="5">
        <v>1129</v>
      </c>
      <c r="B1140" s="5">
        <v>159</v>
      </c>
      <c r="C1140" s="10" t="s">
        <v>1287</v>
      </c>
      <c r="D1140" s="7" t="s">
        <v>2441</v>
      </c>
      <c r="E1140" s="8" t="str">
        <f>T("中國新文學的現代性追求")</f>
        <v>中國新文學的現代性追求</v>
      </c>
      <c r="F1140" s="7" t="s">
        <v>3505</v>
      </c>
      <c r="G1140" s="7" t="str">
        <f>T("學林")</f>
        <v>學林</v>
      </c>
      <c r="H1140" s="7" t="str">
        <f>T("20070112")</f>
        <v>20070112</v>
      </c>
      <c r="I1140" s="7">
        <v>18</v>
      </c>
      <c r="J1140" s="7">
        <v>108</v>
      </c>
      <c r="K1140" s="9" t="s">
        <v>1345</v>
      </c>
    </row>
    <row r="1141" spans="1:11" x14ac:dyDescent="0.25">
      <c r="A1141" s="5">
        <v>1130</v>
      </c>
      <c r="B1141" s="5">
        <v>160</v>
      </c>
      <c r="C1141" s="10" t="s">
        <v>1298</v>
      </c>
      <c r="D1141" s="7" t="s">
        <v>2442</v>
      </c>
      <c r="E1141" s="8" t="str">
        <f>T("三生三世 桃花依舊")</f>
        <v>三生三世 桃花依舊</v>
      </c>
      <c r="F1141" s="7" t="s">
        <v>3506</v>
      </c>
      <c r="G1141" s="7" t="str">
        <f>T("文彙")</f>
        <v>文彙</v>
      </c>
      <c r="H1141" s="7" t="str">
        <f>T("20100901")</f>
        <v>20100901</v>
      </c>
      <c r="I1141" s="7">
        <v>26.8</v>
      </c>
      <c r="J1141" s="7">
        <v>161</v>
      </c>
      <c r="K1141" s="9" t="s">
        <v>111</v>
      </c>
    </row>
    <row r="1142" spans="1:11" x14ac:dyDescent="0.25">
      <c r="A1142" s="5">
        <v>1131</v>
      </c>
      <c r="B1142" s="5">
        <v>161</v>
      </c>
      <c r="C1142" s="10" t="s">
        <v>1114</v>
      </c>
      <c r="D1142" s="7" t="s">
        <v>2443</v>
      </c>
      <c r="E1142" s="8" t="str">
        <f>T("30年文學典藏：散文卷")</f>
        <v>30年文學典藏：散文卷</v>
      </c>
      <c r="F1142" s="7" t="s">
        <v>3507</v>
      </c>
      <c r="G1142" s="7" t="str">
        <f t="shared" ref="G1142:G1148" si="51">T("百花洲文藝")</f>
        <v>百花洲文藝</v>
      </c>
      <c r="H1142" s="7" t="str">
        <f>T("20090401")</f>
        <v>20090401</v>
      </c>
      <c r="I1142" s="7">
        <v>29.8</v>
      </c>
      <c r="J1142" s="7">
        <v>179</v>
      </c>
      <c r="K1142" s="9" t="s">
        <v>1345</v>
      </c>
    </row>
    <row r="1143" spans="1:11" x14ac:dyDescent="0.25">
      <c r="A1143" s="5">
        <v>1132</v>
      </c>
      <c r="B1143" s="5">
        <v>162</v>
      </c>
      <c r="C1143" s="10" t="s">
        <v>1115</v>
      </c>
      <c r="D1143" s="7" t="s">
        <v>2444</v>
      </c>
      <c r="E1143" s="8" t="str">
        <f>T("30年文學典藏：報告文學卷")</f>
        <v>30年文學典藏：報告文學卷</v>
      </c>
      <c r="F1143" s="7" t="s">
        <v>3384</v>
      </c>
      <c r="G1143" s="7" t="str">
        <f t="shared" si="51"/>
        <v>百花洲文藝</v>
      </c>
      <c r="H1143" s="7" t="str">
        <f>T("20090401")</f>
        <v>20090401</v>
      </c>
      <c r="I1143" s="7">
        <v>29.8</v>
      </c>
      <c r="J1143" s="7">
        <v>179</v>
      </c>
      <c r="K1143" s="9" t="s">
        <v>1345</v>
      </c>
    </row>
    <row r="1144" spans="1:11" x14ac:dyDescent="0.25">
      <c r="A1144" s="5">
        <v>1133</v>
      </c>
      <c r="B1144" s="5">
        <v>163</v>
      </c>
      <c r="C1144" s="10" t="s">
        <v>254</v>
      </c>
      <c r="D1144" s="7" t="s">
        <v>2445</v>
      </c>
      <c r="E1144" s="8" t="str">
        <f>T("悠悠鳳與凰那些過往的愛情與陰謀")</f>
        <v>悠悠鳳與凰那些過往的愛情與陰謀</v>
      </c>
      <c r="F1144" s="7" t="s">
        <v>3508</v>
      </c>
      <c r="G1144" s="7" t="str">
        <f t="shared" si="51"/>
        <v>百花洲文藝</v>
      </c>
      <c r="H1144" s="7" t="str">
        <f>T("20100301")</f>
        <v>20100301</v>
      </c>
      <c r="I1144" s="7">
        <v>28</v>
      </c>
      <c r="J1144" s="7">
        <v>168</v>
      </c>
      <c r="K1144" s="9" t="s">
        <v>1345</v>
      </c>
    </row>
    <row r="1145" spans="1:11" x14ac:dyDescent="0.25">
      <c r="A1145" s="5">
        <v>1134</v>
      </c>
      <c r="B1145" s="5">
        <v>164</v>
      </c>
      <c r="C1145" s="10" t="s">
        <v>1116</v>
      </c>
      <c r="D1145" s="7" t="s">
        <v>2446</v>
      </c>
      <c r="E1145" s="8" t="str">
        <f>T("冷箭(上)")</f>
        <v>冷箭(上)</v>
      </c>
      <c r="F1145" s="7" t="s">
        <v>3509</v>
      </c>
      <c r="G1145" s="7" t="str">
        <f t="shared" si="51"/>
        <v>百花洲文藝</v>
      </c>
      <c r="H1145" s="7" t="str">
        <f>T("20091001")</f>
        <v>20091001</v>
      </c>
      <c r="I1145" s="7">
        <v>30</v>
      </c>
      <c r="J1145" s="7">
        <v>180</v>
      </c>
      <c r="K1145" s="9" t="s">
        <v>111</v>
      </c>
    </row>
    <row r="1146" spans="1:11" x14ac:dyDescent="0.25">
      <c r="A1146" s="5">
        <v>1135</v>
      </c>
      <c r="B1146" s="5">
        <v>165</v>
      </c>
      <c r="C1146" s="10" t="s">
        <v>1117</v>
      </c>
      <c r="D1146" s="7" t="s">
        <v>2447</v>
      </c>
      <c r="E1146" s="8" t="str">
        <f>T("冷箭(下)")</f>
        <v>冷箭(下)</v>
      </c>
      <c r="F1146" s="7" t="s">
        <v>3509</v>
      </c>
      <c r="G1146" s="7" t="str">
        <f t="shared" si="51"/>
        <v>百花洲文藝</v>
      </c>
      <c r="H1146" s="7" t="str">
        <f>T("20091001")</f>
        <v>20091001</v>
      </c>
      <c r="I1146" s="7">
        <v>30</v>
      </c>
      <c r="J1146" s="7">
        <v>180</v>
      </c>
      <c r="K1146" s="9" t="s">
        <v>111</v>
      </c>
    </row>
    <row r="1147" spans="1:11" x14ac:dyDescent="0.25">
      <c r="A1147" s="5">
        <v>1136</v>
      </c>
      <c r="B1147" s="5">
        <v>166</v>
      </c>
      <c r="C1147" s="10" t="s">
        <v>1118</v>
      </c>
      <c r="D1147" s="7" t="s">
        <v>2448</v>
      </c>
      <c r="E1147" s="8" t="str">
        <f>T("自己的酒盅")</f>
        <v>自己的酒盅</v>
      </c>
      <c r="F1147" s="7" t="s">
        <v>3510</v>
      </c>
      <c r="G1147" s="7" t="str">
        <f t="shared" si="51"/>
        <v>百花洲文藝</v>
      </c>
      <c r="H1147" s="7" t="str">
        <f>T("20091001")</f>
        <v>20091001</v>
      </c>
      <c r="I1147" s="7">
        <v>28.5</v>
      </c>
      <c r="J1147" s="7">
        <v>171</v>
      </c>
      <c r="K1147" s="9" t="s">
        <v>1345</v>
      </c>
    </row>
    <row r="1148" spans="1:11" x14ac:dyDescent="0.25">
      <c r="A1148" s="5">
        <v>1137</v>
      </c>
      <c r="B1148" s="5">
        <v>167</v>
      </c>
      <c r="C1148" s="10" t="s">
        <v>1119</v>
      </c>
      <c r="D1148" s="7" t="s">
        <v>2449</v>
      </c>
      <c r="E1148" s="8" t="str">
        <f>T("炭灰裏的鎮")</f>
        <v>炭灰裏的鎮</v>
      </c>
      <c r="F1148" s="7" t="s">
        <v>3511</v>
      </c>
      <c r="G1148" s="7" t="str">
        <f t="shared" si="51"/>
        <v>百花洲文藝</v>
      </c>
      <c r="H1148" s="7" t="str">
        <f>T("20091001")</f>
        <v>20091001</v>
      </c>
      <c r="I1148" s="7">
        <v>23.6</v>
      </c>
      <c r="J1148" s="7">
        <v>142</v>
      </c>
      <c r="K1148" s="9" t="s">
        <v>111</v>
      </c>
    </row>
    <row r="1149" spans="1:11" ht="28.5" x14ac:dyDescent="0.25">
      <c r="A1149" s="5">
        <v>1138</v>
      </c>
      <c r="B1149" s="5">
        <v>168</v>
      </c>
      <c r="C1149" s="10" t="s">
        <v>104</v>
      </c>
      <c r="D1149" s="7" t="s">
        <v>2450</v>
      </c>
      <c r="E1149" s="8" t="str">
        <f>T("藏地傳奇-三幅唐卡殘卷引發的西藏探險-大結局 極樂之國")</f>
        <v>藏地傳奇-三幅唐卡殘卷引發的西藏探險-大結局 極樂之國</v>
      </c>
      <c r="F1149" s="7" t="s">
        <v>3512</v>
      </c>
      <c r="G1149" s="7" t="str">
        <f>T("花山文藝")</f>
        <v>花山文藝</v>
      </c>
      <c r="H1149" s="7" t="str">
        <f>T("20100101")</f>
        <v>20100101</v>
      </c>
      <c r="I1149" s="7">
        <v>29.8</v>
      </c>
      <c r="J1149" s="7">
        <v>179</v>
      </c>
      <c r="K1149" s="9" t="s">
        <v>111</v>
      </c>
    </row>
    <row r="1150" spans="1:11" x14ac:dyDescent="0.25">
      <c r="A1150" s="5">
        <v>1139</v>
      </c>
      <c r="B1150" s="5">
        <v>169</v>
      </c>
      <c r="C1150" s="10" t="s">
        <v>1156</v>
      </c>
      <c r="D1150" s="7" t="s">
        <v>2451</v>
      </c>
      <c r="E1150" s="8" t="str">
        <f>T("讀不盡的有形歷史")</f>
        <v>讀不盡的有形歷史</v>
      </c>
      <c r="F1150" s="7" t="s">
        <v>3513</v>
      </c>
      <c r="G1150" s="7" t="str">
        <f>T("嶽麓書社")</f>
        <v>嶽麓書社</v>
      </c>
      <c r="H1150" s="7" t="str">
        <f>T("20090501")</f>
        <v>20090501</v>
      </c>
      <c r="I1150" s="7">
        <v>21</v>
      </c>
      <c r="J1150" s="7">
        <v>126</v>
      </c>
      <c r="K1150" s="9" t="s">
        <v>1345</v>
      </c>
    </row>
    <row r="1151" spans="1:11" x14ac:dyDescent="0.25">
      <c r="A1151" s="5">
        <v>1140</v>
      </c>
      <c r="B1151" s="5">
        <v>170</v>
      </c>
      <c r="C1151" s="10" t="s">
        <v>1161</v>
      </c>
      <c r="D1151" s="7" t="s">
        <v>2452</v>
      </c>
      <c r="E1151" s="8" t="str">
        <f>T("李家墳-一件讓我想了四十多年的事")</f>
        <v>李家墳-一件讓我想了四十多年的事</v>
      </c>
      <c r="F1151" s="7" t="s">
        <v>3514</v>
      </c>
      <c r="G1151" s="7" t="str">
        <f>T("河南文藝")</f>
        <v>河南文藝</v>
      </c>
      <c r="H1151" s="7" t="str">
        <f>T("20100901")</f>
        <v>20100901</v>
      </c>
      <c r="I1151" s="7">
        <v>32.799999999999997</v>
      </c>
      <c r="J1151" s="7">
        <v>197</v>
      </c>
      <c r="K1151" s="9" t="s">
        <v>111</v>
      </c>
    </row>
    <row r="1152" spans="1:11" x14ac:dyDescent="0.25">
      <c r="A1152" s="5">
        <v>1141</v>
      </c>
      <c r="B1152" s="5">
        <v>171</v>
      </c>
      <c r="C1152" s="10" t="s">
        <v>1182</v>
      </c>
      <c r="D1152" s="7" t="s">
        <v>2453</v>
      </c>
      <c r="E1152" s="8" t="str">
        <f>T("歲月傳真--我和當代作家　")</f>
        <v>歲月傳真--我和當代作家　</v>
      </c>
      <c r="F1152" s="7" t="s">
        <v>3515</v>
      </c>
      <c r="G1152" s="7" t="str">
        <f>T("首都師大")</f>
        <v>首都師大</v>
      </c>
      <c r="H1152" s="7" t="str">
        <f>T("20090901")</f>
        <v>20090901</v>
      </c>
      <c r="I1152" s="7">
        <v>49</v>
      </c>
      <c r="J1152" s="7">
        <v>294</v>
      </c>
      <c r="K1152" s="9" t="s">
        <v>111</v>
      </c>
    </row>
    <row r="1153" spans="1:11" x14ac:dyDescent="0.25">
      <c r="A1153" s="5">
        <v>1142</v>
      </c>
      <c r="B1153" s="5">
        <v>172</v>
      </c>
      <c r="C1153" s="10" t="s">
        <v>1183</v>
      </c>
      <c r="D1153" s="7" t="s">
        <v>2454</v>
      </c>
      <c r="E1153" s="8" t="str">
        <f>T("期刊：長流的江河")</f>
        <v>期刊：長流的江河</v>
      </c>
      <c r="F1153" s="7" t="s">
        <v>3516</v>
      </c>
      <c r="G1153" s="7" t="str">
        <f>T("首都師大")</f>
        <v>首都師大</v>
      </c>
      <c r="H1153" s="7" t="str">
        <f>T("20090901")</f>
        <v>20090901</v>
      </c>
      <c r="I1153" s="7">
        <v>42</v>
      </c>
      <c r="J1153" s="7">
        <v>252</v>
      </c>
      <c r="K1153" s="9" t="s">
        <v>111</v>
      </c>
    </row>
    <row r="1154" spans="1:11" x14ac:dyDescent="0.25">
      <c r="A1154" s="5">
        <v>1143</v>
      </c>
      <c r="B1154" s="5">
        <v>173</v>
      </c>
      <c r="C1154" s="10" t="s">
        <v>1184</v>
      </c>
      <c r="D1154" s="7" t="s">
        <v>2455</v>
      </c>
      <c r="E1154" s="8" t="str">
        <f>T("為書籍的一生")</f>
        <v>為書籍的一生</v>
      </c>
      <c r="F1154" s="7" t="s">
        <v>3517</v>
      </c>
      <c r="G1154" s="7" t="str">
        <f>T("首都師大")</f>
        <v>首都師大</v>
      </c>
      <c r="H1154" s="7" t="str">
        <f>T("20090901")</f>
        <v>20090901</v>
      </c>
      <c r="I1154" s="7">
        <v>42</v>
      </c>
      <c r="J1154" s="7">
        <v>252</v>
      </c>
      <c r="K1154" s="9" t="s">
        <v>111</v>
      </c>
    </row>
    <row r="1155" spans="1:11" x14ac:dyDescent="0.25">
      <c r="A1155" s="5">
        <v>1144</v>
      </c>
      <c r="B1155" s="5">
        <v>174</v>
      </c>
      <c r="C1155" s="10" t="s">
        <v>109</v>
      </c>
      <c r="D1155" s="7" t="s">
        <v>2456</v>
      </c>
      <c r="E1155" s="8" t="str">
        <f>T("書林漫步--聶震宇序跋隨筆集")</f>
        <v>書林漫步--聶震宇序跋隨筆集</v>
      </c>
      <c r="F1155" s="7" t="s">
        <v>3518</v>
      </c>
      <c r="G1155" s="7" t="str">
        <f>T("首都師大")</f>
        <v>首都師大</v>
      </c>
      <c r="H1155" s="7" t="str">
        <f>T("20090901")</f>
        <v>20090901</v>
      </c>
      <c r="I1155" s="7">
        <v>40</v>
      </c>
      <c r="J1155" s="7">
        <v>240</v>
      </c>
      <c r="K1155" s="9" t="s">
        <v>111</v>
      </c>
    </row>
    <row r="1156" spans="1:11" x14ac:dyDescent="0.25">
      <c r="A1156" s="5">
        <v>1145</v>
      </c>
      <c r="B1156" s="5">
        <v>175</v>
      </c>
      <c r="C1156" s="10" t="s">
        <v>1186</v>
      </c>
      <c r="D1156" s="7" t="s">
        <v>2457</v>
      </c>
      <c r="E1156" s="8" t="str">
        <f>T("艱辛的開拓：石仲泉自選集　")</f>
        <v>艱辛的開拓：石仲泉自選集　</v>
      </c>
      <c r="F1156" s="7" t="s">
        <v>3519</v>
      </c>
      <c r="G1156" s="7" t="str">
        <f>T("首都師大")</f>
        <v>首都師大</v>
      </c>
      <c r="H1156" s="7" t="str">
        <f>T("20091201")</f>
        <v>20091201</v>
      </c>
      <c r="I1156" s="7">
        <v>68</v>
      </c>
      <c r="J1156" s="7">
        <v>408</v>
      </c>
      <c r="K1156" s="9" t="s">
        <v>111</v>
      </c>
    </row>
    <row r="1157" spans="1:11" x14ac:dyDescent="0.25">
      <c r="A1157" s="19" t="s">
        <v>1346</v>
      </c>
      <c r="B1157" s="19"/>
      <c r="C1157" s="19"/>
      <c r="D1157" s="19"/>
      <c r="E1157" s="19"/>
      <c r="F1157" s="19"/>
      <c r="G1157" s="19"/>
      <c r="H1157" s="19"/>
      <c r="I1157" s="19"/>
      <c r="J1157" s="19"/>
      <c r="K1157" s="19"/>
    </row>
    <row r="1158" spans="1:11" x14ac:dyDescent="0.25">
      <c r="A1158" s="5">
        <v>1146</v>
      </c>
      <c r="B1158" s="5">
        <v>1</v>
      </c>
      <c r="C1158" s="10" t="s">
        <v>1190</v>
      </c>
      <c r="D1158" s="7" t="s">
        <v>2458</v>
      </c>
      <c r="E1158" s="8" t="str">
        <f>T("海峽兩岸的產業合作")</f>
        <v>海峽兩岸的產業合作</v>
      </c>
      <c r="F1158" s="7" t="s">
        <v>3520</v>
      </c>
      <c r="G1158" s="7" t="str">
        <f>T("人民文學")</f>
        <v>人民文學</v>
      </c>
      <c r="H1158" s="7" t="str">
        <f>T("20071101")</f>
        <v>20071101</v>
      </c>
      <c r="I1158" s="7">
        <v>39</v>
      </c>
      <c r="J1158" s="7">
        <v>228</v>
      </c>
      <c r="K1158" s="9" t="s">
        <v>261</v>
      </c>
    </row>
    <row r="1159" spans="1:11" x14ac:dyDescent="0.25">
      <c r="A1159" s="5">
        <v>1147</v>
      </c>
      <c r="B1159" s="5">
        <v>2</v>
      </c>
      <c r="C1159" s="10" t="s">
        <v>1061</v>
      </c>
      <c r="D1159" s="7" t="s">
        <v>2459</v>
      </c>
      <c r="E1159" s="8" t="str">
        <f>T("善知識經濟-因陀羅網經濟學初步")</f>
        <v>善知識經濟-因陀羅網經濟學初步</v>
      </c>
      <c r="F1159" s="7" t="s">
        <v>3521</v>
      </c>
      <c r="G1159" s="7" t="str">
        <f>T("人民文學")</f>
        <v>人民文學</v>
      </c>
      <c r="H1159" s="7" t="str">
        <f>T("20020901")</f>
        <v>20020901</v>
      </c>
      <c r="I1159" s="7">
        <v>30</v>
      </c>
      <c r="J1159" s="7">
        <v>180</v>
      </c>
      <c r="K1159" s="9" t="s">
        <v>1347</v>
      </c>
    </row>
    <row r="1160" spans="1:11" x14ac:dyDescent="0.25">
      <c r="A1160" s="5">
        <v>1148</v>
      </c>
      <c r="B1160" s="5">
        <v>3</v>
      </c>
      <c r="C1160" s="10" t="s">
        <v>482</v>
      </c>
      <c r="D1160" s="7" t="s">
        <v>2460</v>
      </c>
      <c r="E1160" s="8" t="str">
        <f>T("大熊貓研究進展")</f>
        <v>大熊貓研究進展</v>
      </c>
      <c r="F1160" s="7" t="s">
        <v>3522</v>
      </c>
      <c r="G1160" s="7" t="str">
        <f>T("科學")</f>
        <v>科學</v>
      </c>
      <c r="H1160" s="7" t="str">
        <f>T("20070801")</f>
        <v>20070801</v>
      </c>
      <c r="I1160" s="7">
        <v>78</v>
      </c>
      <c r="J1160" s="7">
        <v>468</v>
      </c>
      <c r="K1160" s="9" t="s">
        <v>1347</v>
      </c>
    </row>
    <row r="1161" spans="1:11" x14ac:dyDescent="0.25">
      <c r="A1161" s="5">
        <v>1149</v>
      </c>
      <c r="B1161" s="5">
        <v>4</v>
      </c>
      <c r="C1161" s="10" t="s">
        <v>484</v>
      </c>
      <c r="D1161" s="7" t="s">
        <v>2461</v>
      </c>
      <c r="E1161" s="8" t="str">
        <f>T("國際科技競爭力研究報告")</f>
        <v>國際科技競爭力研究報告</v>
      </c>
      <c r="F1161" s="7" t="s">
        <v>3523</v>
      </c>
      <c r="G1161" s="7" t="str">
        <f>T("科學")</f>
        <v>科學</v>
      </c>
      <c r="H1161" s="7" t="str">
        <f>T("20100408")</f>
        <v>20100408</v>
      </c>
      <c r="I1161" s="7">
        <v>80</v>
      </c>
      <c r="J1161" s="7">
        <v>480</v>
      </c>
      <c r="K1161" s="9" t="s">
        <v>261</v>
      </c>
    </row>
    <row r="1162" spans="1:11" x14ac:dyDescent="0.25">
      <c r="A1162" s="5">
        <v>1150</v>
      </c>
      <c r="B1162" s="5">
        <v>5</v>
      </c>
      <c r="C1162" s="10" t="s">
        <v>485</v>
      </c>
      <c r="D1162" s="7" t="s">
        <v>2462</v>
      </c>
      <c r="E1162" s="8" t="str">
        <f>T("站在美國陽臺看中國")</f>
        <v>站在美國陽臺看中國</v>
      </c>
      <c r="F1162" s="7" t="s">
        <v>3524</v>
      </c>
      <c r="G1162" s="7" t="str">
        <f>T("科學")</f>
        <v>科學</v>
      </c>
      <c r="H1162" s="7" t="str">
        <f>T("20100501")</f>
        <v>20100501</v>
      </c>
      <c r="I1162" s="7">
        <v>35</v>
      </c>
      <c r="J1162" s="7">
        <v>210</v>
      </c>
      <c r="K1162" s="9" t="s">
        <v>261</v>
      </c>
    </row>
    <row r="1163" spans="1:11" x14ac:dyDescent="0.25">
      <c r="A1163" s="5">
        <v>1151</v>
      </c>
      <c r="B1163" s="5">
        <v>6</v>
      </c>
      <c r="C1163" s="10" t="s">
        <v>496</v>
      </c>
      <c r="D1163" s="7" t="s">
        <v>2463</v>
      </c>
      <c r="E1163" s="8" t="str">
        <f>T("品牌之道--商務印書館")</f>
        <v>品牌之道--商務印書館</v>
      </c>
      <c r="F1163" s="7" t="s">
        <v>3525</v>
      </c>
      <c r="G1163" s="7" t="str">
        <f>T("商務印書")</f>
        <v>商務印書</v>
      </c>
      <c r="H1163" s="7" t="str">
        <f>T("20081201")</f>
        <v>20081201</v>
      </c>
      <c r="I1163" s="7">
        <v>69.8</v>
      </c>
      <c r="J1163" s="7">
        <v>419</v>
      </c>
      <c r="K1163" s="9" t="s">
        <v>261</v>
      </c>
    </row>
    <row r="1164" spans="1:11" x14ac:dyDescent="0.25">
      <c r="A1164" s="5">
        <v>1152</v>
      </c>
      <c r="B1164" s="5">
        <v>7</v>
      </c>
      <c r="C1164" s="10" t="s">
        <v>498</v>
      </c>
      <c r="D1164" s="7" t="s">
        <v>2464</v>
      </c>
      <c r="E1164" s="8" t="str">
        <f>T("中國書業年度報告")</f>
        <v>中國書業年度報告</v>
      </c>
      <c r="F1164" s="7" t="s">
        <v>3526</v>
      </c>
      <c r="G1164" s="7" t="str">
        <f>T("商務印書")</f>
        <v>商務印書</v>
      </c>
      <c r="H1164" s="7" t="str">
        <f>T("20090401")</f>
        <v>20090401</v>
      </c>
      <c r="I1164" s="7">
        <v>55</v>
      </c>
      <c r="J1164" s="7">
        <v>330</v>
      </c>
      <c r="K1164" s="9" t="s">
        <v>261</v>
      </c>
    </row>
    <row r="1165" spans="1:11" x14ac:dyDescent="0.25">
      <c r="A1165" s="5">
        <v>1153</v>
      </c>
      <c r="B1165" s="5">
        <v>8</v>
      </c>
      <c r="C1165" s="10" t="s">
        <v>869</v>
      </c>
      <c r="D1165" s="7" t="s">
        <v>2465</v>
      </c>
      <c r="E1165" s="8" t="str">
        <f>T("用一句話的時間愛上生活")</f>
        <v>用一句話的時間愛上生活</v>
      </c>
      <c r="F1165" s="7" t="s">
        <v>3527</v>
      </c>
      <c r="G1165" s="7" t="str">
        <f>T("中國戲劇")</f>
        <v>中國戲劇</v>
      </c>
      <c r="H1165" s="7" t="str">
        <f>T("20100901")</f>
        <v>20100901</v>
      </c>
      <c r="I1165" s="7">
        <v>22</v>
      </c>
      <c r="J1165" s="7">
        <v>132</v>
      </c>
      <c r="K1165" s="9" t="s">
        <v>1347</v>
      </c>
    </row>
    <row r="1166" spans="1:11" x14ac:dyDescent="0.25">
      <c r="A1166" s="5">
        <v>1154</v>
      </c>
      <c r="B1166" s="5">
        <v>9</v>
      </c>
      <c r="C1166" s="10" t="s">
        <v>874</v>
      </c>
      <c r="D1166" s="7" t="s">
        <v>2466</v>
      </c>
      <c r="E1166" s="8" t="str">
        <f>T("贏家：現代經營管理新智囊")</f>
        <v>贏家：現代經營管理新智囊</v>
      </c>
      <c r="F1166" s="7" t="s">
        <v>3528</v>
      </c>
      <c r="G1166" s="7" t="str">
        <f>T("中國電影")</f>
        <v>中國電影</v>
      </c>
      <c r="H1166" s="7" t="str">
        <f>T("20070701")</f>
        <v>20070701</v>
      </c>
      <c r="I1166" s="7">
        <v>32</v>
      </c>
      <c r="J1166" s="7">
        <v>192</v>
      </c>
      <c r="K1166" s="9" t="s">
        <v>261</v>
      </c>
    </row>
    <row r="1167" spans="1:11" x14ac:dyDescent="0.25">
      <c r="A1167" s="5">
        <v>1155</v>
      </c>
      <c r="B1167" s="5">
        <v>10</v>
      </c>
      <c r="C1167" s="10" t="s">
        <v>385</v>
      </c>
      <c r="D1167" s="7" t="s">
        <v>2467</v>
      </c>
      <c r="E1167" s="8" t="str">
        <f>T("震中熊貓影像日記")</f>
        <v>震中熊貓影像日記</v>
      </c>
      <c r="F1167" s="7" t="s">
        <v>3529</v>
      </c>
      <c r="G1167" s="7" t="str">
        <f>T("生活.讀書")</f>
        <v>生活.讀書</v>
      </c>
      <c r="H1167" s="7" t="str">
        <f>T("")</f>
        <v/>
      </c>
      <c r="I1167" s="7">
        <v>36</v>
      </c>
      <c r="J1167" s="7">
        <v>216</v>
      </c>
      <c r="K1167" s="9" t="s">
        <v>261</v>
      </c>
    </row>
    <row r="1168" spans="1:11" x14ac:dyDescent="0.25">
      <c r="A1168" s="5">
        <v>1156</v>
      </c>
      <c r="B1168" s="5">
        <v>11</v>
      </c>
      <c r="C1168" s="10" t="s">
        <v>283</v>
      </c>
      <c r="D1168" s="7" t="s">
        <v>2468</v>
      </c>
      <c r="E1168" s="8" t="str">
        <f>T("左看右看心理學")</f>
        <v>左看右看心理學</v>
      </c>
      <c r="F1168" s="7" t="s">
        <v>3530</v>
      </c>
      <c r="G1168" s="7" t="str">
        <f>T("機械工業")</f>
        <v>機械工業</v>
      </c>
      <c r="H1168" s="7" t="str">
        <f>T("20101101")</f>
        <v>20101101</v>
      </c>
      <c r="I1168" s="7">
        <v>45</v>
      </c>
      <c r="J1168" s="7">
        <v>270</v>
      </c>
      <c r="K1168" s="9" t="s">
        <v>1347</v>
      </c>
    </row>
    <row r="1169" spans="1:11" x14ac:dyDescent="0.25">
      <c r="A1169" s="5">
        <v>1157</v>
      </c>
      <c r="B1169" s="5">
        <v>12</v>
      </c>
      <c r="C1169" s="10" t="s">
        <v>390</v>
      </c>
      <c r="D1169" s="7" t="s">
        <v>2469</v>
      </c>
      <c r="E1169" s="8" t="str">
        <f>T("再見吧!創意")</f>
        <v>再見吧!創意</v>
      </c>
      <c r="F1169" s="7" t="s">
        <v>3531</v>
      </c>
      <c r="G1169" s="7" t="str">
        <f>T("中國建築")</f>
        <v>中國建築</v>
      </c>
      <c r="H1169" s="7" t="str">
        <f>T("20050801")</f>
        <v>20050801</v>
      </c>
      <c r="I1169" s="7">
        <v>76</v>
      </c>
      <c r="J1169" s="7">
        <v>456</v>
      </c>
      <c r="K1169" s="9" t="s">
        <v>261</v>
      </c>
    </row>
    <row r="1170" spans="1:11" x14ac:dyDescent="0.25">
      <c r="A1170" s="5">
        <v>1158</v>
      </c>
      <c r="B1170" s="5">
        <v>13</v>
      </c>
      <c r="C1170" s="10" t="s">
        <v>401</v>
      </c>
      <c r="D1170" s="7" t="s">
        <v>2470</v>
      </c>
      <c r="E1170" s="8" t="str">
        <f>T("中國式寂寞")</f>
        <v>中國式寂寞</v>
      </c>
      <c r="F1170" s="7" t="s">
        <v>3532</v>
      </c>
      <c r="G1170" s="7" t="str">
        <f>T("外文")</f>
        <v>外文</v>
      </c>
      <c r="H1170" s="7" t="str">
        <f>T("20100701")</f>
        <v>20100701</v>
      </c>
      <c r="I1170" s="7">
        <v>26.8</v>
      </c>
      <c r="J1170" s="7">
        <v>161</v>
      </c>
      <c r="K1170" s="9" t="s">
        <v>1347</v>
      </c>
    </row>
    <row r="1171" spans="1:11" x14ac:dyDescent="0.25">
      <c r="A1171" s="5">
        <v>1159</v>
      </c>
      <c r="B1171" s="5">
        <v>14</v>
      </c>
      <c r="C1171" s="10" t="s">
        <v>845</v>
      </c>
      <c r="D1171" s="7" t="s">
        <v>2471</v>
      </c>
      <c r="E1171" s="8" t="str">
        <f>T("決策與智囊")</f>
        <v>決策與智囊</v>
      </c>
      <c r="F1171" s="7" t="s">
        <v>3533</v>
      </c>
      <c r="G1171" s="7" t="str">
        <f>T("天津人民")</f>
        <v>天津人民</v>
      </c>
      <c r="H1171" s="7" t="str">
        <f>T("20090601")</f>
        <v>20090601</v>
      </c>
      <c r="I1171" s="7">
        <v>39.799999999999997</v>
      </c>
      <c r="J1171" s="7">
        <v>239</v>
      </c>
      <c r="K1171" s="9" t="s">
        <v>1347</v>
      </c>
    </row>
    <row r="1172" spans="1:11" x14ac:dyDescent="0.25">
      <c r="A1172" s="5">
        <v>1160</v>
      </c>
      <c r="B1172" s="5">
        <v>15</v>
      </c>
      <c r="C1172" s="10" t="s">
        <v>330</v>
      </c>
      <c r="D1172" s="7" t="s">
        <v>2472</v>
      </c>
      <c r="E1172" s="8" t="str">
        <f>T("中國武術文化散論")</f>
        <v>中國武術文化散論</v>
      </c>
      <c r="F1172" s="7" t="s">
        <v>3534</v>
      </c>
      <c r="G1172" s="7" t="str">
        <f>T("上海人民")</f>
        <v>上海人民</v>
      </c>
      <c r="H1172" s="7" t="str">
        <f>T("20071101")</f>
        <v>20071101</v>
      </c>
      <c r="I1172" s="7">
        <v>35</v>
      </c>
      <c r="J1172" s="7">
        <v>210</v>
      </c>
      <c r="K1172" s="9" t="s">
        <v>261</v>
      </c>
    </row>
    <row r="1173" spans="1:11" x14ac:dyDescent="0.25">
      <c r="A1173" s="5">
        <v>1161</v>
      </c>
      <c r="B1173" s="5">
        <v>16</v>
      </c>
      <c r="C1173" s="10" t="s">
        <v>434</v>
      </c>
      <c r="D1173" s="7" t="s">
        <v>2473</v>
      </c>
      <c r="E1173" s="8" t="str">
        <f>T("法學家茶座.第13輯")</f>
        <v>法學家茶座.第13輯</v>
      </c>
      <c r="F1173" s="7" t="s">
        <v>3535</v>
      </c>
      <c r="G1173" s="7" t="str">
        <f t="shared" ref="G1173:G1180" si="52">T("山東人民")</f>
        <v>山東人民</v>
      </c>
      <c r="H1173" s="7" t="str">
        <f>T("20070101")</f>
        <v>20070101</v>
      </c>
      <c r="I1173" s="7">
        <v>14</v>
      </c>
      <c r="J1173" s="7">
        <v>84</v>
      </c>
      <c r="K1173" s="9" t="s">
        <v>261</v>
      </c>
    </row>
    <row r="1174" spans="1:11" x14ac:dyDescent="0.25">
      <c r="A1174" s="5">
        <v>1162</v>
      </c>
      <c r="B1174" s="5">
        <v>17</v>
      </c>
      <c r="C1174" s="10" t="s">
        <v>435</v>
      </c>
      <c r="D1174" s="7" t="s">
        <v>2474</v>
      </c>
      <c r="E1174" s="8" t="str">
        <f>T("社會學家茶座(第18輯)")</f>
        <v>社會學家茶座(第18輯)</v>
      </c>
      <c r="F1174" s="7" t="s">
        <v>3536</v>
      </c>
      <c r="G1174" s="7" t="str">
        <f t="shared" si="52"/>
        <v>山東人民</v>
      </c>
      <c r="H1174" s="7" t="str">
        <f>T("20070201")</f>
        <v>20070201</v>
      </c>
      <c r="I1174" s="7">
        <v>14</v>
      </c>
      <c r="J1174" s="7">
        <v>84</v>
      </c>
      <c r="K1174" s="9" t="s">
        <v>261</v>
      </c>
    </row>
    <row r="1175" spans="1:11" x14ac:dyDescent="0.25">
      <c r="A1175" s="5">
        <v>1163</v>
      </c>
      <c r="B1175" s="5">
        <v>18</v>
      </c>
      <c r="C1175" s="10" t="s">
        <v>436</v>
      </c>
      <c r="D1175" s="7" t="s">
        <v>2475</v>
      </c>
      <c r="E1175" s="8" t="str">
        <f>T("法學家茶座-第14輯")</f>
        <v>法學家茶座-第14輯</v>
      </c>
      <c r="F1175" s="7" t="s">
        <v>3535</v>
      </c>
      <c r="G1175" s="7" t="str">
        <f t="shared" si="52"/>
        <v>山東人民</v>
      </c>
      <c r="H1175" s="7" t="str">
        <f>T("20070301")</f>
        <v>20070301</v>
      </c>
      <c r="I1175" s="7">
        <v>14</v>
      </c>
      <c r="J1175" s="7">
        <v>84</v>
      </c>
      <c r="K1175" s="9" t="s">
        <v>261</v>
      </c>
    </row>
    <row r="1176" spans="1:11" x14ac:dyDescent="0.25">
      <c r="A1176" s="5">
        <v>1164</v>
      </c>
      <c r="B1176" s="5">
        <v>19</v>
      </c>
      <c r="C1176" s="10" t="s">
        <v>437</v>
      </c>
      <c r="D1176" s="7" t="s">
        <v>2476</v>
      </c>
      <c r="E1176" s="8" t="str">
        <f>T("社會學家茶座-第19輯")</f>
        <v>社會學家茶座-第19輯</v>
      </c>
      <c r="F1176" s="7" t="s">
        <v>3536</v>
      </c>
      <c r="G1176" s="7" t="str">
        <f t="shared" si="52"/>
        <v>山東人民</v>
      </c>
      <c r="H1176" s="7" t="str">
        <f>T("20070401")</f>
        <v>20070401</v>
      </c>
      <c r="I1176" s="7">
        <v>14</v>
      </c>
      <c r="J1176" s="7">
        <v>84</v>
      </c>
      <c r="K1176" s="9" t="s">
        <v>261</v>
      </c>
    </row>
    <row r="1177" spans="1:11" x14ac:dyDescent="0.25">
      <c r="A1177" s="5">
        <v>1165</v>
      </c>
      <c r="B1177" s="5">
        <v>20</v>
      </c>
      <c r="C1177" s="10" t="s">
        <v>566</v>
      </c>
      <c r="D1177" s="7" t="s">
        <v>2477</v>
      </c>
      <c r="E1177" s="8" t="str">
        <f>T("法學家茶座(第15輯)")</f>
        <v>法學家茶座(第15輯)</v>
      </c>
      <c r="F1177" s="7" t="s">
        <v>3535</v>
      </c>
      <c r="G1177" s="7" t="str">
        <f t="shared" si="52"/>
        <v>山東人民</v>
      </c>
      <c r="H1177" s="7" t="str">
        <f>T("20070501")</f>
        <v>20070501</v>
      </c>
      <c r="I1177" s="7">
        <v>14</v>
      </c>
      <c r="J1177" s="7">
        <v>84</v>
      </c>
      <c r="K1177" s="9" t="s">
        <v>261</v>
      </c>
    </row>
    <row r="1178" spans="1:11" x14ac:dyDescent="0.25">
      <c r="A1178" s="5">
        <v>1166</v>
      </c>
      <c r="B1178" s="5">
        <v>21</v>
      </c>
      <c r="C1178" s="10" t="s">
        <v>570</v>
      </c>
      <c r="D1178" s="7" t="s">
        <v>2478</v>
      </c>
      <c r="E1178" s="8" t="str">
        <f>T("經濟學家茶座(第37~40輯合訂本)")</f>
        <v>經濟學家茶座(第37~40輯合訂本)</v>
      </c>
      <c r="F1178" s="7" t="s">
        <v>3537</v>
      </c>
      <c r="G1178" s="7" t="str">
        <f t="shared" si="52"/>
        <v>山東人民</v>
      </c>
      <c r="H1178" s="7" t="str">
        <f>T("20091101")</f>
        <v>20091101</v>
      </c>
      <c r="I1178" s="7">
        <v>56</v>
      </c>
      <c r="J1178" s="7">
        <v>336</v>
      </c>
      <c r="K1178" s="9" t="s">
        <v>261</v>
      </c>
    </row>
    <row r="1179" spans="1:11" x14ac:dyDescent="0.25">
      <c r="A1179" s="5">
        <v>1167</v>
      </c>
      <c r="B1179" s="5">
        <v>22</v>
      </c>
      <c r="C1179" s="10" t="s">
        <v>571</v>
      </c>
      <c r="D1179" s="7" t="s">
        <v>2479</v>
      </c>
      <c r="E1179" s="8" t="str">
        <f>T("經濟學家茶座(第33~36輯合訂本)")</f>
        <v>經濟學家茶座(第33~36輯合訂本)</v>
      </c>
      <c r="F1179" s="7" t="s">
        <v>3537</v>
      </c>
      <c r="G1179" s="7" t="str">
        <f t="shared" si="52"/>
        <v>山東人民</v>
      </c>
      <c r="H1179" s="7" t="str">
        <f>T("20091101")</f>
        <v>20091101</v>
      </c>
      <c r="I1179" s="7">
        <v>56</v>
      </c>
      <c r="J1179" s="7">
        <v>336</v>
      </c>
      <c r="K1179" s="9" t="s">
        <v>261</v>
      </c>
    </row>
    <row r="1180" spans="1:11" x14ac:dyDescent="0.25">
      <c r="A1180" s="5">
        <v>1168</v>
      </c>
      <c r="B1180" s="5">
        <v>23</v>
      </c>
      <c r="C1180" s="10" t="s">
        <v>572</v>
      </c>
      <c r="D1180" s="7" t="s">
        <v>2480</v>
      </c>
      <c r="E1180" s="8" t="str">
        <f>T("法學家茶座(第13~16輯合訂本)")</f>
        <v>法學家茶座(第13~16輯合訂本)</v>
      </c>
      <c r="F1180" s="7" t="s">
        <v>3535</v>
      </c>
      <c r="G1180" s="7" t="str">
        <f t="shared" si="52"/>
        <v>山東人民</v>
      </c>
      <c r="H1180" s="7" t="str">
        <f>T("20091201")</f>
        <v>20091201</v>
      </c>
      <c r="I1180" s="7">
        <v>56</v>
      </c>
      <c r="J1180" s="7">
        <v>336</v>
      </c>
      <c r="K1180" s="9" t="s">
        <v>261</v>
      </c>
    </row>
    <row r="1181" spans="1:11" x14ac:dyDescent="0.25">
      <c r="A1181" s="5">
        <v>1169</v>
      </c>
      <c r="B1181" s="5">
        <v>24</v>
      </c>
      <c r="C1181" s="10" t="s">
        <v>574</v>
      </c>
      <c r="D1181" s="7" t="s">
        <v>2481</v>
      </c>
      <c r="E1181" s="8" t="str">
        <f>T("聯想喘息")</f>
        <v>聯想喘息</v>
      </c>
      <c r="F1181" s="7" t="s">
        <v>1962</v>
      </c>
      <c r="G1181" s="7" t="str">
        <f>T("浙江人民")</f>
        <v>浙江人民</v>
      </c>
      <c r="H1181" s="7" t="str">
        <f>T("20030101")</f>
        <v>20030101</v>
      </c>
      <c r="I1181" s="7">
        <v>25</v>
      </c>
      <c r="J1181" s="7">
        <v>150</v>
      </c>
      <c r="K1181" s="9" t="s">
        <v>261</v>
      </c>
    </row>
    <row r="1182" spans="1:11" x14ac:dyDescent="0.25">
      <c r="A1182" s="5">
        <v>1170</v>
      </c>
      <c r="B1182" s="5">
        <v>25</v>
      </c>
      <c r="C1182" s="10" t="s">
        <v>769</v>
      </c>
      <c r="D1182" s="7" t="s">
        <v>2482</v>
      </c>
      <c r="E1182" s="8" t="str">
        <f>T("論中國特色社會主義文化建設")</f>
        <v>論中國特色社會主義文化建設</v>
      </c>
      <c r="F1182" s="7" t="s">
        <v>3538</v>
      </c>
      <c r="G1182" s="7" t="str">
        <f>T("江蘇人民")</f>
        <v>江蘇人民</v>
      </c>
      <c r="H1182" s="7" t="str">
        <f>T("20100101")</f>
        <v>20100101</v>
      </c>
      <c r="I1182" s="7">
        <v>50</v>
      </c>
      <c r="J1182" s="7">
        <v>300</v>
      </c>
      <c r="K1182" s="9" t="s">
        <v>1347</v>
      </c>
    </row>
    <row r="1183" spans="1:11" ht="28.5" x14ac:dyDescent="0.25">
      <c r="A1183" s="5">
        <v>1171</v>
      </c>
      <c r="B1183" s="5">
        <v>26</v>
      </c>
      <c r="C1183" s="10" t="s">
        <v>880</v>
      </c>
      <c r="D1183" s="7" t="s">
        <v>2483</v>
      </c>
      <c r="E1183" s="8" t="s">
        <v>1348</v>
      </c>
      <c r="F1183" s="7" t="s">
        <v>3539</v>
      </c>
      <c r="G1183" s="7" t="str">
        <f>T("雲南大學")</f>
        <v>雲南大學</v>
      </c>
      <c r="H1183" s="7" t="str">
        <f>T("20070501")</f>
        <v>20070501</v>
      </c>
      <c r="I1183" s="7">
        <v>18</v>
      </c>
      <c r="J1183" s="7">
        <v>108</v>
      </c>
      <c r="K1183" s="9" t="s">
        <v>261</v>
      </c>
    </row>
    <row r="1184" spans="1:11" ht="28.5" x14ac:dyDescent="0.25">
      <c r="A1184" s="5">
        <v>1172</v>
      </c>
      <c r="B1184" s="5">
        <v>27</v>
      </c>
      <c r="C1184" s="10" t="s">
        <v>479</v>
      </c>
      <c r="D1184" s="7" t="s">
        <v>2484</v>
      </c>
      <c r="E1184" s="8" t="str">
        <f>T("從鳳姐治家到火拼王倫-讀紅樓水滸 學管理智慧")</f>
        <v>從鳳姐治家到火拼王倫-讀紅樓水滸 學管理智慧</v>
      </c>
      <c r="F1184" s="7" t="s">
        <v>3540</v>
      </c>
      <c r="G1184" s="7" t="str">
        <f>T("廣東人民")</f>
        <v>廣東人民</v>
      </c>
      <c r="H1184" s="7" t="str">
        <f>T("20100701")</f>
        <v>20100701</v>
      </c>
      <c r="I1184" s="7">
        <v>28</v>
      </c>
      <c r="J1184" s="7">
        <v>168</v>
      </c>
      <c r="K1184" s="9" t="s">
        <v>1347</v>
      </c>
    </row>
    <row r="1185" spans="1:11" x14ac:dyDescent="0.25">
      <c r="A1185" s="5">
        <v>1173</v>
      </c>
      <c r="B1185" s="5">
        <v>28</v>
      </c>
      <c r="C1185" s="10" t="s">
        <v>288</v>
      </c>
      <c r="D1185" s="7" t="s">
        <v>2485</v>
      </c>
      <c r="E1185" s="8" t="str">
        <f>T("識武器話軍事-彩圖注音")</f>
        <v>識武器話軍事-彩圖注音</v>
      </c>
      <c r="F1185" s="7" t="s">
        <v>3541</v>
      </c>
      <c r="G1185" s="7" t="str">
        <f>T("陝西人民")</f>
        <v>陝西人民</v>
      </c>
      <c r="H1185" s="7" t="str">
        <f>T("20100201")</f>
        <v>20100201</v>
      </c>
      <c r="I1185" s="7">
        <v>16</v>
      </c>
      <c r="J1185" s="7">
        <v>96</v>
      </c>
      <c r="K1185" s="9" t="s">
        <v>1347</v>
      </c>
    </row>
    <row r="1186" spans="1:11" x14ac:dyDescent="0.25">
      <c r="A1186" s="5">
        <v>1174</v>
      </c>
      <c r="B1186" s="5">
        <v>29</v>
      </c>
      <c r="C1186" s="10" t="s">
        <v>289</v>
      </c>
      <c r="D1186" s="7" t="s">
        <v>2486</v>
      </c>
      <c r="E1186" s="8" t="str">
        <f>T("觀植物愛自然-小眼睛大世界-彩圖注音")</f>
        <v>觀植物愛自然-小眼睛大世界-彩圖注音</v>
      </c>
      <c r="F1186" s="7" t="s">
        <v>3542</v>
      </c>
      <c r="G1186" s="7" t="str">
        <f>T("陝西人民")</f>
        <v>陝西人民</v>
      </c>
      <c r="H1186" s="7" t="str">
        <f>T("20100201")</f>
        <v>20100201</v>
      </c>
      <c r="I1186" s="7">
        <v>16</v>
      </c>
      <c r="J1186" s="7">
        <v>96</v>
      </c>
      <c r="K1186" s="9" t="s">
        <v>1347</v>
      </c>
    </row>
    <row r="1187" spans="1:11" x14ac:dyDescent="0.25">
      <c r="A1187" s="5">
        <v>1175</v>
      </c>
      <c r="B1187" s="5">
        <v>30</v>
      </c>
      <c r="C1187" s="10" t="s">
        <v>963</v>
      </c>
      <c r="D1187" s="7" t="s">
        <v>2487</v>
      </c>
      <c r="E1187" s="8" t="str">
        <f>T("激情員工：通過滿足員工關鍵需求而獲利")</f>
        <v>激情員工：通過滿足員工關鍵需求而獲利</v>
      </c>
      <c r="F1187" s="7" t="s">
        <v>3543</v>
      </c>
      <c r="G1187" s="7" t="str">
        <f>T("中國人大")</f>
        <v>中國人大</v>
      </c>
      <c r="H1187" s="7" t="str">
        <f>T("20070101")</f>
        <v>20070101</v>
      </c>
      <c r="I1187" s="7">
        <v>39</v>
      </c>
      <c r="J1187" s="7">
        <v>228</v>
      </c>
      <c r="K1187" s="9" t="s">
        <v>261</v>
      </c>
    </row>
    <row r="1188" spans="1:11" x14ac:dyDescent="0.25">
      <c r="A1188" s="5">
        <v>1176</v>
      </c>
      <c r="B1188" s="5">
        <v>31</v>
      </c>
      <c r="C1188" s="10" t="s">
        <v>965</v>
      </c>
      <c r="D1188" s="7" t="s">
        <v>2488</v>
      </c>
      <c r="E1188" s="8" t="str">
        <f>T("牛奶可樂經濟學2")</f>
        <v>牛奶可樂經濟學2</v>
      </c>
      <c r="F1188" s="7" t="s">
        <v>3544</v>
      </c>
      <c r="G1188" s="7" t="str">
        <f>T("人民大學")</f>
        <v>人民大學</v>
      </c>
      <c r="H1188" s="7" t="str">
        <f>T("20090101")</f>
        <v>20090101</v>
      </c>
      <c r="I1188" s="7">
        <v>39.799999999999997</v>
      </c>
      <c r="J1188" s="7">
        <v>239</v>
      </c>
      <c r="K1188" s="9" t="s">
        <v>261</v>
      </c>
    </row>
    <row r="1189" spans="1:11" x14ac:dyDescent="0.25">
      <c r="A1189" s="5">
        <v>1177</v>
      </c>
      <c r="B1189" s="5">
        <v>32</v>
      </c>
      <c r="C1189" s="10" t="s">
        <v>198</v>
      </c>
      <c r="D1189" s="7" t="s">
        <v>2489</v>
      </c>
      <c r="E1189" s="8" t="str">
        <f>T("輸贏")</f>
        <v>輸贏</v>
      </c>
      <c r="F1189" s="7" t="s">
        <v>3545</v>
      </c>
      <c r="G1189" s="7" t="str">
        <f>T("北京大學")</f>
        <v>北京大學</v>
      </c>
      <c r="H1189" s="7" t="str">
        <f>T("20060701")</f>
        <v>20060701</v>
      </c>
      <c r="I1189" s="7">
        <v>36</v>
      </c>
      <c r="J1189" s="7">
        <v>216</v>
      </c>
      <c r="K1189" s="9" t="s">
        <v>261</v>
      </c>
    </row>
    <row r="1190" spans="1:11" x14ac:dyDescent="0.25">
      <c r="A1190" s="5">
        <v>1178</v>
      </c>
      <c r="B1190" s="5">
        <v>33</v>
      </c>
      <c r="C1190" s="10" t="s">
        <v>202</v>
      </c>
      <c r="D1190" s="7" t="s">
        <v>2490</v>
      </c>
      <c r="E1190" s="8" t="str">
        <f>T("有情君未老:侯仁之九十五華誕影集")</f>
        <v>有情君未老:侯仁之九十五華誕影集</v>
      </c>
      <c r="F1190" s="7" t="s">
        <v>3546</v>
      </c>
      <c r="G1190" s="7" t="str">
        <f>T("北京大學")</f>
        <v>北京大學</v>
      </c>
      <c r="H1190" s="7" t="str">
        <f>T("20061201")</f>
        <v>20061201</v>
      </c>
      <c r="I1190" s="7">
        <v>99</v>
      </c>
      <c r="J1190" s="7">
        <v>594</v>
      </c>
      <c r="K1190" s="9" t="s">
        <v>261</v>
      </c>
    </row>
    <row r="1191" spans="1:11" x14ac:dyDescent="0.25">
      <c r="A1191" s="5">
        <v>1179</v>
      </c>
      <c r="B1191" s="5">
        <v>34</v>
      </c>
      <c r="C1191" s="10" t="s">
        <v>438</v>
      </c>
      <c r="D1191" s="7" t="s">
        <v>2491</v>
      </c>
      <c r="E1191" s="8" t="str">
        <f>T("有一種財富叫誠信")</f>
        <v>有一種財富叫誠信</v>
      </c>
      <c r="F1191" s="7" t="s">
        <v>3547</v>
      </c>
      <c r="G1191" s="7" t="str">
        <f>T("北京大學")</f>
        <v>北京大學</v>
      </c>
      <c r="H1191" s="7" t="str">
        <f>T("20090101")</f>
        <v>20090101</v>
      </c>
      <c r="I1191" s="7">
        <v>20</v>
      </c>
      <c r="J1191" s="7">
        <v>120</v>
      </c>
      <c r="K1191" s="9" t="s">
        <v>1347</v>
      </c>
    </row>
    <row r="1192" spans="1:11" x14ac:dyDescent="0.25">
      <c r="A1192" s="5">
        <v>1180</v>
      </c>
      <c r="B1192" s="5">
        <v>35</v>
      </c>
      <c r="C1192" s="10" t="s">
        <v>439</v>
      </c>
      <c r="D1192" s="7" t="s">
        <v>2492</v>
      </c>
      <c r="E1192" s="8" t="str">
        <f>T("快樂在於選擇")</f>
        <v>快樂在於選擇</v>
      </c>
      <c r="F1192" s="7" t="s">
        <v>3547</v>
      </c>
      <c r="G1192" s="7" t="str">
        <f>T("北京大學")</f>
        <v>北京大學</v>
      </c>
      <c r="H1192" s="7" t="str">
        <f>T("20090101")</f>
        <v>20090101</v>
      </c>
      <c r="I1192" s="7">
        <v>20</v>
      </c>
      <c r="J1192" s="7">
        <v>120</v>
      </c>
      <c r="K1192" s="9" t="s">
        <v>261</v>
      </c>
    </row>
    <row r="1193" spans="1:11" x14ac:dyDescent="0.25">
      <c r="A1193" s="5">
        <v>1181</v>
      </c>
      <c r="B1193" s="5">
        <v>36</v>
      </c>
      <c r="C1193" s="10" t="s">
        <v>223</v>
      </c>
      <c r="D1193" s="7" t="s">
        <v>2493</v>
      </c>
      <c r="E1193" s="8" t="str">
        <f>T("中國元素與廣告創意")</f>
        <v>中國元素與廣告創意</v>
      </c>
      <c r="F1193" s="7" t="s">
        <v>3548</v>
      </c>
      <c r="G1193" s="7" t="str">
        <f>T("北京大學")</f>
        <v>北京大學</v>
      </c>
      <c r="H1193" s="7" t="str">
        <f>T("20100101")</f>
        <v>20100101</v>
      </c>
      <c r="I1193" s="7">
        <v>50</v>
      </c>
      <c r="J1193" s="7">
        <v>300</v>
      </c>
      <c r="K1193" s="9" t="s">
        <v>261</v>
      </c>
    </row>
    <row r="1194" spans="1:11" x14ac:dyDescent="0.25">
      <c r="A1194" s="5">
        <v>1182</v>
      </c>
      <c r="B1194" s="5">
        <v>37</v>
      </c>
      <c r="C1194" s="10" t="s">
        <v>128</v>
      </c>
      <c r="D1194" s="7" t="s">
        <v>2494</v>
      </c>
      <c r="E1194" s="8" t="str">
        <f>T("攝影技藝教程")</f>
        <v>攝影技藝教程</v>
      </c>
      <c r="F1194" s="7" t="s">
        <v>3549</v>
      </c>
      <c r="G1194" s="7" t="str">
        <f t="shared" ref="G1194:G1199" si="53">T("復旦大學")</f>
        <v>復旦大學</v>
      </c>
      <c r="H1194" s="7" t="str">
        <f>T("20051201")</f>
        <v>20051201</v>
      </c>
      <c r="I1194" s="7">
        <v>26</v>
      </c>
      <c r="J1194" s="7">
        <v>156</v>
      </c>
      <c r="K1194" s="9" t="s">
        <v>261</v>
      </c>
    </row>
    <row r="1195" spans="1:11" x14ac:dyDescent="0.25">
      <c r="A1195" s="5">
        <v>1183</v>
      </c>
      <c r="B1195" s="5">
        <v>38</v>
      </c>
      <c r="C1195" s="10" t="s">
        <v>129</v>
      </c>
      <c r="D1195" s="7" t="s">
        <v>2495</v>
      </c>
      <c r="E1195" s="8" t="str">
        <f>T("知識·權力·控制-基礎教育課程文化研究")</f>
        <v>知識·權力·控制-基礎教育課程文化研究</v>
      </c>
      <c r="F1195" s="7" t="s">
        <v>3550</v>
      </c>
      <c r="G1195" s="7" t="str">
        <f t="shared" si="53"/>
        <v>復旦大學</v>
      </c>
      <c r="H1195" s="7" t="str">
        <f>T("20031201")</f>
        <v>20031201</v>
      </c>
      <c r="I1195" s="7">
        <v>15</v>
      </c>
      <c r="J1195" s="7">
        <v>90</v>
      </c>
      <c r="K1195" s="9" t="s">
        <v>1347</v>
      </c>
    </row>
    <row r="1196" spans="1:11" x14ac:dyDescent="0.25">
      <c r="A1196" s="5">
        <v>1184</v>
      </c>
      <c r="B1196" s="5">
        <v>39</v>
      </c>
      <c r="C1196" s="10" t="s">
        <v>130</v>
      </c>
      <c r="D1196" s="7" t="s">
        <v>2496</v>
      </c>
      <c r="E1196" s="8" t="str">
        <f>T("談話的歲月")</f>
        <v>談話的歲月</v>
      </c>
      <c r="F1196" s="7" t="s">
        <v>3551</v>
      </c>
      <c r="G1196" s="7" t="str">
        <f t="shared" si="53"/>
        <v>復旦大學</v>
      </c>
      <c r="H1196" s="7" t="str">
        <f>T("20040701")</f>
        <v>20040701</v>
      </c>
      <c r="I1196" s="7">
        <v>16</v>
      </c>
      <c r="J1196" s="7">
        <v>96</v>
      </c>
      <c r="K1196" s="9" t="s">
        <v>1347</v>
      </c>
    </row>
    <row r="1197" spans="1:11" x14ac:dyDescent="0.25">
      <c r="A1197" s="5">
        <v>1185</v>
      </c>
      <c r="B1197" s="5">
        <v>40</v>
      </c>
      <c r="C1197" s="10" t="s">
        <v>131</v>
      </c>
      <c r="D1197" s="7" t="s">
        <v>2497</v>
      </c>
      <c r="E1197" s="8" t="str">
        <f>T("外國新聞傳播史導論")</f>
        <v>外國新聞傳播史導論</v>
      </c>
      <c r="F1197" s="7" t="s">
        <v>3552</v>
      </c>
      <c r="G1197" s="7" t="str">
        <f t="shared" si="53"/>
        <v>復旦大學</v>
      </c>
      <c r="H1197" s="7" t="str">
        <f>T("20060701")</f>
        <v>20060701</v>
      </c>
      <c r="I1197" s="7">
        <v>29</v>
      </c>
      <c r="J1197" s="7">
        <v>174</v>
      </c>
      <c r="K1197" s="9" t="s">
        <v>261</v>
      </c>
    </row>
    <row r="1198" spans="1:11" x14ac:dyDescent="0.25">
      <c r="A1198" s="5">
        <v>1186</v>
      </c>
      <c r="B1198" s="5">
        <v>41</v>
      </c>
      <c r="C1198" s="10" t="s">
        <v>29</v>
      </c>
      <c r="D1198" s="7" t="s">
        <v>2498</v>
      </c>
      <c r="E1198" s="8" t="str">
        <f>T("中美新聞傳媒比較：生產·產業·實務")</f>
        <v>中美新聞傳媒比較：生產·產業·實務</v>
      </c>
      <c r="F1198" s="7" t="s">
        <v>3553</v>
      </c>
      <c r="G1198" s="7" t="str">
        <f t="shared" si="53"/>
        <v>復旦大學</v>
      </c>
      <c r="H1198" s="7" t="str">
        <f>T("20050401")</f>
        <v>20050401</v>
      </c>
      <c r="I1198" s="7">
        <v>19.8</v>
      </c>
      <c r="J1198" s="7">
        <v>119</v>
      </c>
      <c r="K1198" s="9" t="s">
        <v>261</v>
      </c>
    </row>
    <row r="1199" spans="1:11" ht="28.5" x14ac:dyDescent="0.25">
      <c r="A1199" s="5">
        <v>1187</v>
      </c>
      <c r="B1199" s="5">
        <v>42</v>
      </c>
      <c r="C1199" s="10" t="s">
        <v>31</v>
      </c>
      <c r="D1199" s="7" t="s">
        <v>2499</v>
      </c>
      <c r="E1199" s="8" t="str">
        <f>T("愛德華·R·默羅和美國廣播電視新聞業的誕生")</f>
        <v>愛德華·R·默羅和美國廣播電視新聞業的誕生</v>
      </c>
      <c r="F1199" s="7" t="s">
        <v>3554</v>
      </c>
      <c r="G1199" s="7" t="str">
        <f t="shared" si="53"/>
        <v>復旦大學</v>
      </c>
      <c r="H1199" s="7" t="str">
        <f>T("20050801")</f>
        <v>20050801</v>
      </c>
      <c r="I1199" s="7">
        <v>18</v>
      </c>
      <c r="J1199" s="7">
        <v>108</v>
      </c>
      <c r="K1199" s="9" t="s">
        <v>261</v>
      </c>
    </row>
    <row r="1200" spans="1:11" x14ac:dyDescent="0.25">
      <c r="A1200" s="5">
        <v>1188</v>
      </c>
      <c r="B1200" s="5">
        <v>43</v>
      </c>
      <c r="C1200" s="10" t="s">
        <v>542</v>
      </c>
      <c r="D1200" s="7" t="s">
        <v>2500</v>
      </c>
      <c r="E1200" s="8" t="str">
        <f>T("36位著名學者縱論新中國發展60年")</f>
        <v>36位著名學者縱論新中國發展60年</v>
      </c>
      <c r="F1200" s="7" t="s">
        <v>2959</v>
      </c>
      <c r="G1200" s="7" t="str">
        <f>T("中國社科")</f>
        <v>中國社科</v>
      </c>
      <c r="H1200" s="7" t="str">
        <f>T("20091001")</f>
        <v>20091001</v>
      </c>
      <c r="I1200" s="7">
        <v>65</v>
      </c>
      <c r="J1200" s="7">
        <v>390</v>
      </c>
      <c r="K1200" s="9" t="s">
        <v>261</v>
      </c>
    </row>
    <row r="1201" spans="1:11" x14ac:dyDescent="0.25">
      <c r="A1201" s="5">
        <v>1189</v>
      </c>
      <c r="B1201" s="5">
        <v>44</v>
      </c>
      <c r="C1201" s="10" t="s">
        <v>545</v>
      </c>
      <c r="D1201" s="7" t="s">
        <v>2501</v>
      </c>
      <c r="E1201" s="8" t="str">
        <f>T("美國電影的跨文化解讀")</f>
        <v>美國電影的跨文化解讀</v>
      </c>
      <c r="F1201" s="7" t="s">
        <v>3555</v>
      </c>
      <c r="G1201" s="7" t="str">
        <f>T("中國社科")</f>
        <v>中國社科</v>
      </c>
      <c r="H1201" s="7" t="str">
        <f>T("20100101")</f>
        <v>20100101</v>
      </c>
      <c r="I1201" s="7">
        <v>24</v>
      </c>
      <c r="J1201" s="7">
        <v>144</v>
      </c>
      <c r="K1201" s="9" t="s">
        <v>261</v>
      </c>
    </row>
    <row r="1202" spans="1:11" x14ac:dyDescent="0.25">
      <c r="A1202" s="5">
        <v>1190</v>
      </c>
      <c r="B1202" s="5">
        <v>45</v>
      </c>
      <c r="C1202" s="10" t="s">
        <v>546</v>
      </c>
      <c r="D1202" s="7" t="s">
        <v>2502</v>
      </c>
      <c r="E1202" s="8" t="str">
        <f>T("舞臺下的評說")</f>
        <v>舞臺下的評說</v>
      </c>
      <c r="F1202" s="7" t="s">
        <v>3556</v>
      </c>
      <c r="G1202" s="7" t="str">
        <f>T("中國社科")</f>
        <v>中國社科</v>
      </c>
      <c r="H1202" s="7" t="str">
        <f>T("20100101")</f>
        <v>20100101</v>
      </c>
      <c r="I1202" s="7">
        <v>28</v>
      </c>
      <c r="J1202" s="7">
        <v>168</v>
      </c>
      <c r="K1202" s="9" t="s">
        <v>1347</v>
      </c>
    </row>
    <row r="1203" spans="1:11" x14ac:dyDescent="0.25">
      <c r="A1203" s="5">
        <v>1191</v>
      </c>
      <c r="B1203" s="5">
        <v>46</v>
      </c>
      <c r="C1203" s="10" t="s">
        <v>552</v>
      </c>
      <c r="D1203" s="7" t="s">
        <v>2503</v>
      </c>
      <c r="E1203" s="8" t="str">
        <f>T("博客營銷")</f>
        <v>博客營銷</v>
      </c>
      <c r="F1203" s="7" t="s">
        <v>3557</v>
      </c>
      <c r="G1203" s="7" t="str">
        <f>T("中國財經")</f>
        <v>中國財經</v>
      </c>
      <c r="H1203" s="7" t="str">
        <f>T("20070101")</f>
        <v>20070101</v>
      </c>
      <c r="I1203" s="7">
        <v>39.799999999999997</v>
      </c>
      <c r="J1203" s="7">
        <v>239</v>
      </c>
      <c r="K1203" s="9" t="s">
        <v>261</v>
      </c>
    </row>
    <row r="1204" spans="1:11" x14ac:dyDescent="0.25">
      <c r="A1204" s="5">
        <v>1192</v>
      </c>
      <c r="B1204" s="5">
        <v>47</v>
      </c>
      <c r="C1204" s="10" t="s">
        <v>322</v>
      </c>
      <c r="D1204" s="7" t="s">
        <v>2504</v>
      </c>
      <c r="E1204" s="8" t="str">
        <f>T("少林鎮門拳")</f>
        <v>少林鎮門拳</v>
      </c>
      <c r="F1204" s="7" t="s">
        <v>3558</v>
      </c>
      <c r="G1204" s="7" t="str">
        <f>T("人民體育")</f>
        <v>人民體育</v>
      </c>
      <c r="H1204" s="7" t="str">
        <f>T("20071001")</f>
        <v>20071001</v>
      </c>
      <c r="I1204" s="7">
        <v>13</v>
      </c>
      <c r="J1204" s="7">
        <v>78</v>
      </c>
      <c r="K1204" s="9" t="s">
        <v>261</v>
      </c>
    </row>
    <row r="1205" spans="1:11" x14ac:dyDescent="0.25">
      <c r="A1205" s="5">
        <v>1193</v>
      </c>
      <c r="B1205" s="5">
        <v>48</v>
      </c>
      <c r="C1205" s="10" t="s">
        <v>233</v>
      </c>
      <c r="D1205" s="7" t="s">
        <v>2505</v>
      </c>
      <c r="E1205" s="8" t="str">
        <f>T("浮城繪")</f>
        <v>浮城繪</v>
      </c>
      <c r="F1205" s="7" t="s">
        <v>3559</v>
      </c>
      <c r="G1205" s="7" t="str">
        <f>T("北京圖書館")</f>
        <v>北京圖書館</v>
      </c>
      <c r="H1205" s="7" t="str">
        <f>T("20050601")</f>
        <v>20050601</v>
      </c>
      <c r="I1205" s="7">
        <v>16</v>
      </c>
      <c r="J1205" s="7">
        <v>96</v>
      </c>
      <c r="K1205" s="9" t="s">
        <v>261</v>
      </c>
    </row>
    <row r="1206" spans="1:11" x14ac:dyDescent="0.25">
      <c r="A1206" s="5">
        <v>1194</v>
      </c>
      <c r="B1206" s="5">
        <v>49</v>
      </c>
      <c r="C1206" s="10" t="s">
        <v>348</v>
      </c>
      <c r="D1206" s="7" t="s">
        <v>2506</v>
      </c>
      <c r="E1206" s="8" t="str">
        <f>T("知識服務模式與創新")</f>
        <v>知識服務模式與創新</v>
      </c>
      <c r="F1206" s="7" t="s">
        <v>3560</v>
      </c>
      <c r="G1206" s="7" t="str">
        <f>T("北京圖書館")</f>
        <v>北京圖書館</v>
      </c>
      <c r="H1206" s="7" t="str">
        <f>T("20050501")</f>
        <v>20050501</v>
      </c>
      <c r="I1206" s="7">
        <v>25</v>
      </c>
      <c r="J1206" s="7">
        <v>150</v>
      </c>
      <c r="K1206" s="9" t="s">
        <v>1347</v>
      </c>
    </row>
    <row r="1207" spans="1:11" x14ac:dyDescent="0.25">
      <c r="A1207" s="5">
        <v>1195</v>
      </c>
      <c r="B1207" s="5">
        <v>50</v>
      </c>
      <c r="C1207" s="10" t="s">
        <v>467</v>
      </c>
      <c r="D1207" s="7" t="s">
        <v>2507</v>
      </c>
      <c r="E1207" s="8" t="str">
        <f>T("民營企業法律風險：識別與控制")</f>
        <v>民營企業法律風險：識別與控制</v>
      </c>
      <c r="F1207" s="7" t="s">
        <v>3561</v>
      </c>
      <c r="G1207" s="7" t="str">
        <f>T("中國經濟")</f>
        <v>中國經濟</v>
      </c>
      <c r="H1207" s="7" t="str">
        <f>T("20080301")</f>
        <v>20080301</v>
      </c>
      <c r="I1207" s="7">
        <v>58</v>
      </c>
      <c r="J1207" s="7">
        <v>348</v>
      </c>
      <c r="K1207" s="9" t="s">
        <v>261</v>
      </c>
    </row>
    <row r="1208" spans="1:11" x14ac:dyDescent="0.25">
      <c r="A1208" s="5">
        <v>1196</v>
      </c>
      <c r="B1208" s="5">
        <v>51</v>
      </c>
      <c r="C1208" s="10" t="s">
        <v>469</v>
      </c>
      <c r="D1208" s="7" t="s">
        <v>2508</v>
      </c>
      <c r="E1208" s="8" t="str">
        <f>T("貧民爵士：艾倫·休格爵士傳記")</f>
        <v>貧民爵士：艾倫·休格爵士傳記</v>
      </c>
      <c r="F1208" s="7" t="s">
        <v>3562</v>
      </c>
      <c r="G1208" s="7" t="str">
        <f>T("中國經濟")</f>
        <v>中國經濟</v>
      </c>
      <c r="H1208" s="7" t="str">
        <f>T("20100101")</f>
        <v>20100101</v>
      </c>
      <c r="I1208" s="7">
        <v>39.799999999999997</v>
      </c>
      <c r="J1208" s="7">
        <v>239</v>
      </c>
      <c r="K1208" s="9" t="s">
        <v>1347</v>
      </c>
    </row>
    <row r="1209" spans="1:11" x14ac:dyDescent="0.25">
      <c r="A1209" s="5">
        <v>1197</v>
      </c>
      <c r="B1209" s="5">
        <v>52</v>
      </c>
      <c r="C1209" s="10" t="s">
        <v>376</v>
      </c>
      <c r="D1209" s="7" t="s">
        <v>2509</v>
      </c>
      <c r="E1209" s="8" t="str">
        <f>T("墮落的花朵：站在審判席上的藝術")</f>
        <v>墮落的花朵：站在審判席上的藝術</v>
      </c>
      <c r="F1209" s="7" t="s">
        <v>2616</v>
      </c>
      <c r="G1209" s="7" t="str">
        <f>T("中國旅遊")</f>
        <v>中國旅遊</v>
      </c>
      <c r="H1209" s="7" t="str">
        <f>T("20050701")</f>
        <v>20050701</v>
      </c>
      <c r="I1209" s="7">
        <v>32</v>
      </c>
      <c r="J1209" s="7">
        <v>192</v>
      </c>
      <c r="K1209" s="9" t="s">
        <v>1347</v>
      </c>
    </row>
    <row r="1210" spans="1:11" x14ac:dyDescent="0.25">
      <c r="A1210" s="5">
        <v>1198</v>
      </c>
      <c r="B1210" s="5">
        <v>53</v>
      </c>
      <c r="C1210" s="10" t="s">
        <v>23</v>
      </c>
      <c r="D1210" s="7" t="s">
        <v>2510</v>
      </c>
      <c r="E1210" s="8" t="str">
        <f>T("狼王法則")</f>
        <v>狼王法則</v>
      </c>
      <c r="F1210" s="7" t="s">
        <v>2715</v>
      </c>
      <c r="G1210" s="7" t="str">
        <f>T("中國商業")</f>
        <v>中國商業</v>
      </c>
      <c r="H1210" s="7" t="str">
        <f>T("20100901")</f>
        <v>20100901</v>
      </c>
      <c r="I1210" s="7">
        <v>35</v>
      </c>
      <c r="J1210" s="7">
        <v>210</v>
      </c>
      <c r="K1210" s="9" t="s">
        <v>1347</v>
      </c>
    </row>
    <row r="1211" spans="1:11" x14ac:dyDescent="0.25">
      <c r="A1211" s="5">
        <v>1199</v>
      </c>
      <c r="B1211" s="5">
        <v>54</v>
      </c>
      <c r="C1211" s="10" t="s">
        <v>92</v>
      </c>
      <c r="D1211" s="7" t="s">
        <v>2511</v>
      </c>
      <c r="E1211" s="8" t="str">
        <f>T("千秋功罪：金融風暴中的風雲人物")</f>
        <v>千秋功罪：金融風暴中的風雲人物</v>
      </c>
      <c r="F1211" s="7" t="s">
        <v>3563</v>
      </c>
      <c r="G1211" s="7" t="str">
        <f>T("中國科技")</f>
        <v>中國科技</v>
      </c>
      <c r="H1211" s="7" t="str">
        <f>T("20100801")</f>
        <v>20100801</v>
      </c>
      <c r="I1211" s="7">
        <v>30</v>
      </c>
      <c r="J1211" s="7">
        <v>180</v>
      </c>
      <c r="K1211" s="9" t="s">
        <v>261</v>
      </c>
    </row>
    <row r="1212" spans="1:11" x14ac:dyDescent="0.25">
      <c r="A1212" s="5">
        <v>1200</v>
      </c>
      <c r="B1212" s="5">
        <v>55</v>
      </c>
      <c r="C1212" s="10" t="s">
        <v>297</v>
      </c>
      <c r="D1212" s="7" t="s">
        <v>2512</v>
      </c>
      <c r="E1212" s="8" t="str">
        <f>T("左手畢業證，右手工作證")</f>
        <v>左手畢業證，右手工作證</v>
      </c>
      <c r="F1212" s="7" t="s">
        <v>3564</v>
      </c>
      <c r="G1212" s="7" t="str">
        <f>T("朝華")</f>
        <v>朝華</v>
      </c>
      <c r="H1212" s="7" t="str">
        <f>T("20100101")</f>
        <v>20100101</v>
      </c>
      <c r="I1212" s="7">
        <v>29.8</v>
      </c>
      <c r="J1212" s="7">
        <v>179</v>
      </c>
      <c r="K1212" s="9" t="s">
        <v>261</v>
      </c>
    </row>
    <row r="1213" spans="1:11" x14ac:dyDescent="0.25">
      <c r="A1213" s="5">
        <v>1201</v>
      </c>
      <c r="B1213" s="5">
        <v>56</v>
      </c>
      <c r="C1213" s="10" t="s">
        <v>114</v>
      </c>
      <c r="D1213" s="7" t="s">
        <v>2513</v>
      </c>
      <c r="E1213" s="8" t="str">
        <f>T("興趣決定孩子的能力")</f>
        <v>興趣決定孩子的能力</v>
      </c>
      <c r="F1213" s="7" t="s">
        <v>3565</v>
      </c>
      <c r="G1213" s="7" t="str">
        <f>T("朝華")</f>
        <v>朝華</v>
      </c>
      <c r="H1213" s="7" t="str">
        <f>T("20100101")</f>
        <v>20100101</v>
      </c>
      <c r="I1213" s="7">
        <v>29.8</v>
      </c>
      <c r="J1213" s="7">
        <v>179</v>
      </c>
      <c r="K1213" s="9" t="s">
        <v>261</v>
      </c>
    </row>
    <row r="1214" spans="1:11" x14ac:dyDescent="0.25">
      <c r="A1214" s="5">
        <v>1202</v>
      </c>
      <c r="B1214" s="5">
        <v>57</v>
      </c>
      <c r="C1214" s="10" t="s">
        <v>115</v>
      </c>
      <c r="D1214" s="7" t="s">
        <v>2514</v>
      </c>
      <c r="E1214" s="8" t="str">
        <f>T("心態決定孩子的成就")</f>
        <v>心態決定孩子的成就</v>
      </c>
      <c r="F1214" s="7" t="s">
        <v>3566</v>
      </c>
      <c r="G1214" s="7" t="str">
        <f>T("朝華")</f>
        <v>朝華</v>
      </c>
      <c r="H1214" s="7" t="str">
        <f>T("20100101")</f>
        <v>20100101</v>
      </c>
      <c r="I1214" s="7">
        <v>29.8</v>
      </c>
      <c r="J1214" s="7">
        <v>179</v>
      </c>
      <c r="K1214" s="9" t="s">
        <v>261</v>
      </c>
    </row>
    <row r="1215" spans="1:11" x14ac:dyDescent="0.25">
      <c r="A1215" s="5">
        <v>1203</v>
      </c>
      <c r="B1215" s="5">
        <v>58</v>
      </c>
      <c r="C1215" s="10" t="s">
        <v>116</v>
      </c>
      <c r="D1215" s="7" t="s">
        <v>2515</v>
      </c>
      <c r="E1215" s="8" t="str">
        <f>T("習慣決定孩子的素質")</f>
        <v>習慣決定孩子的素質</v>
      </c>
      <c r="F1215" s="7" t="s">
        <v>3567</v>
      </c>
      <c r="G1215" s="7" t="str">
        <f>T("朝華")</f>
        <v>朝華</v>
      </c>
      <c r="H1215" s="7" t="str">
        <f>T("20100101")</f>
        <v>20100101</v>
      </c>
      <c r="I1215" s="7">
        <v>29.8</v>
      </c>
      <c r="J1215" s="7">
        <v>179</v>
      </c>
      <c r="K1215" s="9" t="s">
        <v>261</v>
      </c>
    </row>
    <row r="1216" spans="1:11" x14ac:dyDescent="0.25">
      <c r="A1216" s="5">
        <v>1204</v>
      </c>
      <c r="B1216" s="5">
        <v>59</v>
      </c>
      <c r="C1216" s="10" t="s">
        <v>418</v>
      </c>
      <c r="D1216" s="7" t="s">
        <v>2516</v>
      </c>
      <c r="E1216" s="8" t="str">
        <f>T("你正在被催眠")</f>
        <v>你正在被催眠</v>
      </c>
      <c r="F1216" s="7" t="s">
        <v>3568</v>
      </c>
      <c r="G1216" s="7" t="str">
        <f>T("世界圖書")</f>
        <v>世界圖書</v>
      </c>
      <c r="H1216" s="7" t="str">
        <f>T("")</f>
        <v/>
      </c>
      <c r="I1216" s="7">
        <v>29</v>
      </c>
      <c r="J1216" s="7">
        <v>174</v>
      </c>
      <c r="K1216" s="9" t="s">
        <v>261</v>
      </c>
    </row>
    <row r="1217" spans="1:11" x14ac:dyDescent="0.25">
      <c r="A1217" s="5">
        <v>1205</v>
      </c>
      <c r="B1217" s="5">
        <v>60</v>
      </c>
      <c r="C1217" s="10" t="s">
        <v>138</v>
      </c>
      <c r="D1217" s="7" t="s">
        <v>2517</v>
      </c>
      <c r="E1217" s="8" t="str">
        <f>T("考古中國：流沙疑塚")</f>
        <v>考古中國：流沙疑塚</v>
      </c>
      <c r="F1217" s="7" t="s">
        <v>2619</v>
      </c>
      <c r="G1217" s="7" t="str">
        <f>T("國際廣播")</f>
        <v>國際廣播</v>
      </c>
      <c r="H1217" s="7" t="str">
        <f>T("20100101")</f>
        <v>20100101</v>
      </c>
      <c r="I1217" s="7">
        <v>26</v>
      </c>
      <c r="J1217" s="7">
        <v>156</v>
      </c>
      <c r="K1217" s="9" t="s">
        <v>261</v>
      </c>
    </row>
    <row r="1218" spans="1:11" x14ac:dyDescent="0.25">
      <c r="A1218" s="5">
        <v>1206</v>
      </c>
      <c r="B1218" s="5">
        <v>61</v>
      </c>
      <c r="C1218" s="10" t="s">
        <v>472</v>
      </c>
      <c r="D1218" s="7" t="s">
        <v>2518</v>
      </c>
      <c r="E1218" s="8" t="str">
        <f>T("國際象棋殘局理論與技巧")</f>
        <v>國際象棋殘局理論與技巧</v>
      </c>
      <c r="F1218" s="7" t="s">
        <v>3569</v>
      </c>
      <c r="G1218" s="7" t="str">
        <f>T("中信")</f>
        <v>中信</v>
      </c>
      <c r="H1218" s="7" t="str">
        <f>T("20071001")</f>
        <v>20071001</v>
      </c>
      <c r="I1218" s="7">
        <v>20</v>
      </c>
      <c r="J1218" s="7">
        <v>120</v>
      </c>
      <c r="K1218" s="9" t="s">
        <v>261</v>
      </c>
    </row>
    <row r="1219" spans="1:11" x14ac:dyDescent="0.25">
      <c r="A1219" s="5">
        <v>1207</v>
      </c>
      <c r="B1219" s="5">
        <v>62</v>
      </c>
      <c r="C1219" s="10" t="s">
        <v>149</v>
      </c>
      <c r="D1219" s="7" t="s">
        <v>2519</v>
      </c>
      <c r="E1219" s="8" t="str">
        <f>T("全球大變暖 氣候經濟、政治與倫理")</f>
        <v>全球大變暖 氣候經濟、政治與倫理</v>
      </c>
      <c r="F1219" s="7" t="s">
        <v>3570</v>
      </c>
      <c r="G1219" s="7" t="str">
        <f t="shared" ref="G1219:G1225" si="54">T("社科文獻")</f>
        <v>社科文獻</v>
      </c>
      <c r="H1219" s="7" t="str">
        <f>T("20100401")</f>
        <v>20100401</v>
      </c>
      <c r="I1219" s="7">
        <v>59</v>
      </c>
      <c r="J1219" s="7">
        <v>354</v>
      </c>
      <c r="K1219" s="9" t="s">
        <v>261</v>
      </c>
    </row>
    <row r="1220" spans="1:11" x14ac:dyDescent="0.25">
      <c r="A1220" s="5">
        <v>1208</v>
      </c>
      <c r="B1220" s="5">
        <v>63</v>
      </c>
      <c r="C1220" s="10" t="s">
        <v>150</v>
      </c>
      <c r="D1220" s="7" t="s">
        <v>2520</v>
      </c>
      <c r="E1220" s="8" t="str">
        <f>T("企業軟實力與聲譽管理")</f>
        <v>企業軟實力與聲譽管理</v>
      </c>
      <c r="F1220" s="7" t="s">
        <v>3571</v>
      </c>
      <c r="G1220" s="7" t="str">
        <f t="shared" si="54"/>
        <v>社科文獻</v>
      </c>
      <c r="H1220" s="7" t="str">
        <f>T("20100601")</f>
        <v>20100601</v>
      </c>
      <c r="I1220" s="7">
        <v>59</v>
      </c>
      <c r="J1220" s="7">
        <v>354</v>
      </c>
      <c r="K1220" s="9" t="s">
        <v>261</v>
      </c>
    </row>
    <row r="1221" spans="1:11" x14ac:dyDescent="0.25">
      <c r="A1221" s="5">
        <v>1209</v>
      </c>
      <c r="B1221" s="5">
        <v>64</v>
      </c>
      <c r="C1221" s="10" t="s">
        <v>151</v>
      </c>
      <c r="D1221" s="7" t="s">
        <v>2521</v>
      </c>
      <c r="E1221" s="8" t="str">
        <f>T("北京卷-中國城市文化消費報告")</f>
        <v>北京卷-中國城市文化消費報告</v>
      </c>
      <c r="F1221" s="7" t="s">
        <v>3572</v>
      </c>
      <c r="G1221" s="7" t="str">
        <f t="shared" si="54"/>
        <v>社科文獻</v>
      </c>
      <c r="H1221" s="7" t="str">
        <f>T("20100501")</f>
        <v>20100501</v>
      </c>
      <c r="I1221" s="7">
        <v>59</v>
      </c>
      <c r="J1221" s="7">
        <v>354</v>
      </c>
      <c r="K1221" s="9" t="s">
        <v>261</v>
      </c>
    </row>
    <row r="1222" spans="1:11" ht="28.5" x14ac:dyDescent="0.25">
      <c r="A1222" s="5">
        <v>1210</v>
      </c>
      <c r="B1222" s="5">
        <v>65</v>
      </c>
      <c r="C1222" s="10" t="s">
        <v>152</v>
      </c>
      <c r="D1222" s="7" t="s">
        <v>2522</v>
      </c>
      <c r="E1222" s="8" t="str">
        <f>T("碳減排:中國經驗-
基於清潔發展機制的考察")</f>
        <v>碳減排:中國經驗-
基於清潔發展機制的考察</v>
      </c>
      <c r="F1222" s="7" t="s">
        <v>3573</v>
      </c>
      <c r="G1222" s="7" t="str">
        <f t="shared" si="54"/>
        <v>社科文獻</v>
      </c>
      <c r="H1222" s="7" t="str">
        <f>T("20100501")</f>
        <v>20100501</v>
      </c>
      <c r="I1222" s="7">
        <v>55</v>
      </c>
      <c r="J1222" s="7">
        <v>330</v>
      </c>
      <c r="K1222" s="9" t="s">
        <v>261</v>
      </c>
    </row>
    <row r="1223" spans="1:11" x14ac:dyDescent="0.25">
      <c r="A1223" s="5">
        <v>1211</v>
      </c>
      <c r="B1223" s="5">
        <v>66</v>
      </c>
      <c r="C1223" s="10" t="s">
        <v>153</v>
      </c>
      <c r="D1223" s="7" t="s">
        <v>2523</v>
      </c>
      <c r="E1223" s="8" t="str">
        <f>T("中國.美國和歐盟氣候政策分析")</f>
        <v>中國.美國和歐盟氣候政策分析</v>
      </c>
      <c r="F1223" s="7" t="s">
        <v>3574</v>
      </c>
      <c r="G1223" s="7" t="str">
        <f t="shared" si="54"/>
        <v>社科文獻</v>
      </c>
      <c r="H1223" s="7" t="str">
        <f>T("20100501")</f>
        <v>20100501</v>
      </c>
      <c r="I1223" s="7">
        <v>65</v>
      </c>
      <c r="J1223" s="7">
        <v>390</v>
      </c>
      <c r="K1223" s="9" t="s">
        <v>261</v>
      </c>
    </row>
    <row r="1224" spans="1:11" x14ac:dyDescent="0.25">
      <c r="A1224" s="5">
        <v>1212</v>
      </c>
      <c r="B1224" s="5">
        <v>67</v>
      </c>
      <c r="C1224" s="10" t="s">
        <v>158</v>
      </c>
      <c r="D1224" s="7" t="s">
        <v>2524</v>
      </c>
      <c r="E1224" s="8" t="str">
        <f>T("中國社會變遷︰60年回顧與思考")</f>
        <v>中國社會變遷︰60年回顧與思考</v>
      </c>
      <c r="F1224" s="7" t="s">
        <v>3575</v>
      </c>
      <c r="G1224" s="7" t="str">
        <f t="shared" si="54"/>
        <v>社科文獻</v>
      </c>
      <c r="H1224" s="7" t="str">
        <f>T("20100701")</f>
        <v>20100701</v>
      </c>
      <c r="I1224" s="7">
        <v>75</v>
      </c>
      <c r="J1224" s="7">
        <v>450</v>
      </c>
      <c r="K1224" s="9" t="s">
        <v>261</v>
      </c>
    </row>
    <row r="1225" spans="1:11" ht="28.5" x14ac:dyDescent="0.25">
      <c r="A1225" s="5">
        <v>1213</v>
      </c>
      <c r="B1225" s="5">
        <v>68</v>
      </c>
      <c r="C1225" s="10" t="s">
        <v>159</v>
      </c>
      <c r="D1225" s="7" t="s">
        <v>2525</v>
      </c>
      <c r="E1225" s="8" t="str">
        <f>T("2009-2010-全球城市競爭力報告-創新 城市競爭力不竭之源")</f>
        <v>2009-2010-全球城市競爭力報告-創新 城市競爭力不竭之源</v>
      </c>
      <c r="F1225" s="7" t="s">
        <v>3576</v>
      </c>
      <c r="G1225" s="7" t="str">
        <f t="shared" si="54"/>
        <v>社科文獻</v>
      </c>
      <c r="H1225" s="7" t="str">
        <f>T("20100701")</f>
        <v>20100701</v>
      </c>
      <c r="I1225" s="7">
        <v>198</v>
      </c>
      <c r="J1225" s="7">
        <v>1188</v>
      </c>
      <c r="K1225" s="9" t="s">
        <v>261</v>
      </c>
    </row>
    <row r="1226" spans="1:11" x14ac:dyDescent="0.25">
      <c r="A1226" s="5">
        <v>1214</v>
      </c>
      <c r="B1226" s="5">
        <v>69</v>
      </c>
      <c r="C1226" s="10" t="s">
        <v>162</v>
      </c>
      <c r="D1226" s="7" t="s">
        <v>2526</v>
      </c>
      <c r="E1226" s="8" t="str">
        <f>T("絕密檔案：背後的傳奇（二）")</f>
        <v>絕密檔案：背後的傳奇（二）</v>
      </c>
      <c r="F1226" s="7" t="s">
        <v>3577</v>
      </c>
      <c r="G1226" s="7" t="str">
        <f>T("中共黨史")</f>
        <v>中共黨史</v>
      </c>
      <c r="H1226" s="7" t="str">
        <f>T("20100601")</f>
        <v>20100601</v>
      </c>
      <c r="I1226" s="7">
        <v>29</v>
      </c>
      <c r="J1226" s="7">
        <v>174</v>
      </c>
      <c r="K1226" s="9" t="s">
        <v>1347</v>
      </c>
    </row>
    <row r="1227" spans="1:11" x14ac:dyDescent="0.25">
      <c r="A1227" s="5">
        <v>1215</v>
      </c>
      <c r="B1227" s="5">
        <v>70</v>
      </c>
      <c r="C1227" s="10" t="s">
        <v>163</v>
      </c>
      <c r="D1227" s="7" t="s">
        <v>2527</v>
      </c>
      <c r="E1227" s="8" t="str">
        <f>T("完整的成長-兒童生命的自我創造")</f>
        <v>完整的成長-兒童生命的自我創造</v>
      </c>
      <c r="F1227" s="7" t="s">
        <v>3578</v>
      </c>
      <c r="G1227" s="7" t="str">
        <f>T("")</f>
        <v/>
      </c>
      <c r="H1227" s="7" t="str">
        <f>T("")</f>
        <v/>
      </c>
      <c r="I1227" s="7">
        <v>36</v>
      </c>
      <c r="J1227" s="7">
        <v>216</v>
      </c>
      <c r="K1227" s="9" t="s">
        <v>261</v>
      </c>
    </row>
    <row r="1228" spans="1:11" x14ac:dyDescent="0.25">
      <c r="A1228" s="5">
        <v>1216</v>
      </c>
      <c r="B1228" s="5">
        <v>71</v>
      </c>
      <c r="C1228" s="10" t="s">
        <v>165</v>
      </c>
      <c r="D1228" s="7" t="s">
        <v>2528</v>
      </c>
      <c r="E1228" s="8" t="str">
        <f>T("職場小菜奔!奔!奔!-趣味心理故事繪")</f>
        <v>職場小菜奔!奔!奔!-趣味心理故事繪</v>
      </c>
      <c r="F1228" s="7" t="s">
        <v>3579</v>
      </c>
      <c r="G1228" s="7" t="str">
        <f>T("世界圖書")</f>
        <v>世界圖書</v>
      </c>
      <c r="H1228" s="7" t="str">
        <f>T("20100101")</f>
        <v>20100101</v>
      </c>
      <c r="I1228" s="7">
        <v>26</v>
      </c>
      <c r="J1228" s="7">
        <v>156</v>
      </c>
      <c r="K1228" s="9" t="s">
        <v>261</v>
      </c>
    </row>
    <row r="1229" spans="1:11" x14ac:dyDescent="0.25">
      <c r="A1229" s="5">
        <v>1217</v>
      </c>
      <c r="B1229" s="5">
        <v>72</v>
      </c>
      <c r="C1229" s="10" t="s">
        <v>168</v>
      </c>
      <c r="D1229" s="7" t="s">
        <v>2529</v>
      </c>
      <c r="E1229" s="8" t="str">
        <f>T("轉角遇見心理學家")</f>
        <v>轉角遇見心理學家</v>
      </c>
      <c r="F1229" s="7" t="s">
        <v>3580</v>
      </c>
      <c r="G1229" s="7" t="str">
        <f>T("世界圖書")</f>
        <v>世界圖書</v>
      </c>
      <c r="H1229" s="7" t="str">
        <f>T("20100401")</f>
        <v>20100401</v>
      </c>
      <c r="I1229" s="7">
        <v>38</v>
      </c>
      <c r="J1229" s="7">
        <v>228</v>
      </c>
      <c r="K1229" s="9" t="s">
        <v>1347</v>
      </c>
    </row>
    <row r="1230" spans="1:11" ht="28.5" x14ac:dyDescent="0.25">
      <c r="A1230" s="5">
        <v>1218</v>
      </c>
      <c r="B1230" s="5">
        <v>73</v>
      </c>
      <c r="C1230" s="10" t="s">
        <v>312</v>
      </c>
      <c r="D1230" s="7" t="s">
        <v>2530</v>
      </c>
      <c r="E1230" s="8" t="str">
        <f>T("金仙長公主 
成王妃慕容真如海 于遂古墓誌")</f>
        <v>金仙長公主 
成王妃慕容真如海 于遂古墓誌</v>
      </c>
      <c r="F1230" s="7" t="s">
        <v>3581</v>
      </c>
      <c r="G1230" s="7" t="str">
        <f>T("北京世圖")</f>
        <v>北京世圖</v>
      </c>
      <c r="H1230" s="7" t="str">
        <f>T("20110101")</f>
        <v>20110101</v>
      </c>
      <c r="I1230" s="7">
        <v>28</v>
      </c>
      <c r="J1230" s="7">
        <v>168</v>
      </c>
      <c r="K1230" s="9" t="s">
        <v>261</v>
      </c>
    </row>
    <row r="1231" spans="1:11" ht="28.5" x14ac:dyDescent="0.25">
      <c r="A1231" s="5">
        <v>1219</v>
      </c>
      <c r="B1231" s="5">
        <v>74</v>
      </c>
      <c r="C1231" s="10" t="s">
        <v>3</v>
      </c>
      <c r="D1231" s="7" t="s">
        <v>2531</v>
      </c>
      <c r="E1231" s="8" t="str">
        <f>T("經典重訪：與中國最具影響力的記錄片導演對話")</f>
        <v>經典重訪：與中國最具影響力的記錄片導演對話</v>
      </c>
      <c r="F1231" s="7" t="s">
        <v>3582</v>
      </c>
      <c r="G1231" s="7" t="str">
        <f>T("上海文藝")</f>
        <v>上海文藝</v>
      </c>
      <c r="H1231" s="7" t="str">
        <f>T("20070401")</f>
        <v>20070401</v>
      </c>
      <c r="I1231" s="7">
        <v>42</v>
      </c>
      <c r="J1231" s="7">
        <v>252</v>
      </c>
      <c r="K1231" s="9" t="s">
        <v>261</v>
      </c>
    </row>
    <row r="1232" spans="1:11" x14ac:dyDescent="0.25">
      <c r="A1232" s="5">
        <v>1220</v>
      </c>
      <c r="B1232" s="5">
        <v>75</v>
      </c>
      <c r="C1232" s="10" t="s">
        <v>169</v>
      </c>
      <c r="D1232" s="7" t="s">
        <v>2532</v>
      </c>
      <c r="E1232" s="8" t="str">
        <f>T("招貼設計速查手冊")</f>
        <v>招貼設計速查手冊</v>
      </c>
      <c r="F1232" s="7" t="s">
        <v>3583</v>
      </c>
      <c r="G1232" s="7" t="str">
        <f>T("上海人美")</f>
        <v>上海人美</v>
      </c>
      <c r="H1232" s="7" t="str">
        <f>T("20050601")</f>
        <v>20050601</v>
      </c>
      <c r="I1232" s="7">
        <v>48</v>
      </c>
      <c r="J1232" s="7">
        <v>288</v>
      </c>
      <c r="K1232" s="9" t="s">
        <v>261</v>
      </c>
    </row>
    <row r="1233" spans="1:11" x14ac:dyDescent="0.25">
      <c r="A1233" s="5">
        <v>1221</v>
      </c>
      <c r="B1233" s="5">
        <v>76</v>
      </c>
      <c r="C1233" s="10" t="s">
        <v>120</v>
      </c>
      <c r="D1233" s="7" t="s">
        <v>2533</v>
      </c>
      <c r="E1233" s="8" t="str">
        <f>T("傳播學研究集刊.3")</f>
        <v>傳播學研究集刊.3</v>
      </c>
      <c r="F1233" s="7" t="s">
        <v>3584</v>
      </c>
      <c r="G1233" s="7" t="str">
        <f>T("上海古籍")</f>
        <v>上海古籍</v>
      </c>
      <c r="H1233" s="7" t="str">
        <f>T("20050101")</f>
        <v>20050101</v>
      </c>
      <c r="I1233" s="7">
        <v>35</v>
      </c>
      <c r="J1233" s="7">
        <v>210</v>
      </c>
      <c r="K1233" s="9" t="s">
        <v>261</v>
      </c>
    </row>
    <row r="1234" spans="1:11" x14ac:dyDescent="0.25">
      <c r="A1234" s="5">
        <v>1222</v>
      </c>
      <c r="B1234" s="5">
        <v>77</v>
      </c>
      <c r="C1234" s="10" t="s">
        <v>806</v>
      </c>
      <c r="D1234" s="7" t="s">
        <v>2534</v>
      </c>
      <c r="E1234" s="8" t="str">
        <f>T("潘朵拉的匣子——女性意識的覺醒")</f>
        <v>潘朵拉的匣子——女性意識的覺醒</v>
      </c>
      <c r="F1234" s="7" t="s">
        <v>3585</v>
      </c>
      <c r="G1234" s="7" t="str">
        <f t="shared" ref="G1234:H1236" si="55">T("")</f>
        <v/>
      </c>
      <c r="H1234" s="7" t="str">
        <f t="shared" si="55"/>
        <v/>
      </c>
      <c r="I1234" s="7"/>
      <c r="J1234" s="7">
        <v>75</v>
      </c>
      <c r="K1234" s="9" t="s">
        <v>261</v>
      </c>
    </row>
    <row r="1235" spans="1:11" x14ac:dyDescent="0.25">
      <c r="A1235" s="5">
        <v>1223</v>
      </c>
      <c r="B1235" s="5">
        <v>78</v>
      </c>
      <c r="C1235" s="10" t="s">
        <v>807</v>
      </c>
      <c r="D1235" s="7" t="s">
        <v>2535</v>
      </c>
      <c r="E1235" s="8" t="str">
        <f>T("籬外的春天——中國女性與近現代文明的")</f>
        <v>籬外的春天——中國女性與近現代文明的</v>
      </c>
      <c r="F1235" s="7" t="s">
        <v>3586</v>
      </c>
      <c r="G1235" s="7" t="str">
        <f t="shared" si="55"/>
        <v/>
      </c>
      <c r="H1235" s="7" t="str">
        <f t="shared" si="55"/>
        <v/>
      </c>
      <c r="I1235" s="7"/>
      <c r="J1235" s="7">
        <v>95</v>
      </c>
      <c r="K1235" s="9" t="s">
        <v>261</v>
      </c>
    </row>
    <row r="1236" spans="1:11" x14ac:dyDescent="0.25">
      <c r="A1236" s="5">
        <v>1224</v>
      </c>
      <c r="B1236" s="5">
        <v>79</v>
      </c>
      <c r="C1236" s="10" t="s">
        <v>808</v>
      </c>
      <c r="D1236" s="7" t="s">
        <v>2536</v>
      </c>
      <c r="E1236" s="8" t="str">
        <f>T("麵包與玫瑰——女性權利的解釋與實現")</f>
        <v>麵包與玫瑰——女性權利的解釋與實現</v>
      </c>
      <c r="F1236" s="7" t="s">
        <v>3586</v>
      </c>
      <c r="G1236" s="7" t="str">
        <f t="shared" si="55"/>
        <v/>
      </c>
      <c r="H1236" s="7" t="str">
        <f t="shared" si="55"/>
        <v/>
      </c>
      <c r="I1236" s="7"/>
      <c r="J1236" s="7">
        <v>75</v>
      </c>
      <c r="K1236" s="9" t="s">
        <v>261</v>
      </c>
    </row>
    <row r="1237" spans="1:11" x14ac:dyDescent="0.25">
      <c r="A1237" s="5">
        <v>1225</v>
      </c>
      <c r="B1237" s="5">
        <v>80</v>
      </c>
      <c r="C1237" s="10" t="s">
        <v>615</v>
      </c>
      <c r="D1237" s="7" t="s">
        <v>2537</v>
      </c>
      <c r="E1237" s="8" t="str">
        <f>T("先哲教我們生活．西方卷")</f>
        <v>先哲教我們生活．西方卷</v>
      </c>
      <c r="F1237" s="7" t="s">
        <v>3587</v>
      </c>
      <c r="G1237" s="7" t="str">
        <f>T("齊魯書社")</f>
        <v>齊魯書社</v>
      </c>
      <c r="H1237" s="7" t="str">
        <f>T("20090901")</f>
        <v>20090901</v>
      </c>
      <c r="I1237" s="7">
        <v>26</v>
      </c>
      <c r="J1237" s="7">
        <v>156</v>
      </c>
      <c r="K1237" s="9" t="s">
        <v>261</v>
      </c>
    </row>
    <row r="1238" spans="1:11" x14ac:dyDescent="0.25">
      <c r="A1238" s="5">
        <v>1226</v>
      </c>
      <c r="B1238" s="5">
        <v>81</v>
      </c>
      <c r="C1238" s="10" t="s">
        <v>640</v>
      </c>
      <c r="D1238" s="7" t="s">
        <v>2538</v>
      </c>
      <c r="E1238" s="8" t="str">
        <f>T("漫說梅蘭芳")</f>
        <v>漫說梅蘭芳</v>
      </c>
      <c r="F1238" s="7" t="s">
        <v>3588</v>
      </c>
      <c r="G1238" s="7" t="str">
        <f>T("大象")</f>
        <v>大象</v>
      </c>
      <c r="H1238" s="7" t="str">
        <f>T("20090101")</f>
        <v>20090101</v>
      </c>
      <c r="I1238" s="7">
        <v>9.5</v>
      </c>
      <c r="J1238" s="7">
        <v>57</v>
      </c>
      <c r="K1238" s="9" t="s">
        <v>1347</v>
      </c>
    </row>
    <row r="1239" spans="1:11" x14ac:dyDescent="0.25">
      <c r="A1239" s="5">
        <v>1227</v>
      </c>
      <c r="B1239" s="5">
        <v>82</v>
      </c>
      <c r="C1239" s="10" t="s">
        <v>641</v>
      </c>
      <c r="D1239" s="7" t="s">
        <v>2539</v>
      </c>
      <c r="E1239" s="8" t="str">
        <f>T("繪畫與文學")</f>
        <v>繪畫與文學</v>
      </c>
      <c r="F1239" s="7" t="s">
        <v>3588</v>
      </c>
      <c r="G1239" s="7" t="str">
        <f>T("大象")</f>
        <v>大象</v>
      </c>
      <c r="H1239" s="7" t="str">
        <f>T("20090101")</f>
        <v>20090101</v>
      </c>
      <c r="I1239" s="7">
        <v>12.6</v>
      </c>
      <c r="J1239" s="7">
        <v>76</v>
      </c>
      <c r="K1239" s="9" t="s">
        <v>1347</v>
      </c>
    </row>
    <row r="1240" spans="1:11" x14ac:dyDescent="0.25">
      <c r="A1240" s="5">
        <v>1228</v>
      </c>
      <c r="B1240" s="5">
        <v>83</v>
      </c>
      <c r="C1240" s="10" t="s">
        <v>658</v>
      </c>
      <c r="D1240" s="7" t="s">
        <v>2540</v>
      </c>
      <c r="E1240" s="8" t="str">
        <f>T("為了兒童的文學--金波兒童文學評論集")</f>
        <v>為了兒童的文學--金波兒童文學評論集</v>
      </c>
      <c r="F1240" s="7" t="s">
        <v>3589</v>
      </c>
      <c r="G1240" s="7" t="str">
        <f>T("湖南教育")</f>
        <v>湖南教育</v>
      </c>
      <c r="H1240" s="7" t="str">
        <f>T("20060601")</f>
        <v>20060601</v>
      </c>
      <c r="I1240" s="7">
        <v>18</v>
      </c>
      <c r="J1240" s="7">
        <v>108</v>
      </c>
      <c r="K1240" s="9" t="s">
        <v>261</v>
      </c>
    </row>
    <row r="1241" spans="1:11" x14ac:dyDescent="0.25">
      <c r="A1241" s="5">
        <v>1229</v>
      </c>
      <c r="B1241" s="5">
        <v>84</v>
      </c>
      <c r="C1241" s="10" t="s">
        <v>666</v>
      </c>
      <c r="D1241" s="7" t="s">
        <v>2541</v>
      </c>
      <c r="E1241" s="8" t="str">
        <f>T("熊貓史詩")</f>
        <v>熊貓史詩</v>
      </c>
      <c r="F1241" s="7" t="s">
        <v>3590</v>
      </c>
      <c r="G1241" s="7" t="str">
        <f>T("重慶")</f>
        <v>重慶</v>
      </c>
      <c r="H1241" s="7" t="str">
        <f>T("20080101")</f>
        <v>20080101</v>
      </c>
      <c r="I1241" s="7">
        <v>45</v>
      </c>
      <c r="J1241" s="7">
        <v>270</v>
      </c>
      <c r="K1241" s="9" t="s">
        <v>261</v>
      </c>
    </row>
    <row r="1242" spans="1:11" x14ac:dyDescent="0.25">
      <c r="A1242" s="5">
        <v>1230</v>
      </c>
      <c r="B1242" s="5">
        <v>85</v>
      </c>
      <c r="C1242" s="10" t="s">
        <v>675</v>
      </c>
      <c r="D1242" s="7" t="s">
        <v>2542</v>
      </c>
      <c r="E1242" s="8" t="str">
        <f>T("財富中國之財富魔杖")</f>
        <v>財富中國之財富魔杖</v>
      </c>
      <c r="F1242" s="7" t="s">
        <v>3591</v>
      </c>
      <c r="G1242" s="7" t="str">
        <f>T("安徽文藝")</f>
        <v>安徽文藝</v>
      </c>
      <c r="H1242" s="7" t="str">
        <f>T("20070401")</f>
        <v>20070401</v>
      </c>
      <c r="I1242" s="7">
        <v>25</v>
      </c>
      <c r="J1242" s="7">
        <v>150</v>
      </c>
      <c r="K1242" s="9" t="s">
        <v>1347</v>
      </c>
    </row>
    <row r="1243" spans="1:11" x14ac:dyDescent="0.25">
      <c r="A1243" s="5">
        <v>1231</v>
      </c>
      <c r="B1243" s="5">
        <v>86</v>
      </c>
      <c r="C1243" s="10" t="s">
        <v>698</v>
      </c>
      <c r="D1243" s="7" t="s">
        <v>2543</v>
      </c>
      <c r="E1243" s="8" t="str">
        <f>T("市井")</f>
        <v>市井</v>
      </c>
      <c r="F1243" s="7" t="s">
        <v>3592</v>
      </c>
      <c r="G1243" s="7" t="str">
        <f>T("四川美術")</f>
        <v>四川美術</v>
      </c>
      <c r="H1243" s="7" t="str">
        <f>T("20070501")</f>
        <v>20070501</v>
      </c>
      <c r="I1243" s="7">
        <v>680</v>
      </c>
      <c r="J1243" s="7">
        <v>4080</v>
      </c>
      <c r="K1243" s="9" t="s">
        <v>1347</v>
      </c>
    </row>
    <row r="1244" spans="1:11" x14ac:dyDescent="0.25">
      <c r="A1244" s="5">
        <v>1232</v>
      </c>
      <c r="B1244" s="5">
        <v>87</v>
      </c>
      <c r="C1244" s="10" t="s">
        <v>192</v>
      </c>
      <c r="D1244" s="7" t="s">
        <v>2544</v>
      </c>
      <c r="E1244" s="8" t="str">
        <f>T("橄欖綠蔭---蒼生大醫莊仕華")</f>
        <v>橄欖綠蔭---蒼生大醫莊仕華</v>
      </c>
      <c r="F1244" s="7" t="s">
        <v>1962</v>
      </c>
      <c r="G1244" s="7" t="str">
        <f>T("伊犁人民")</f>
        <v>伊犁人民</v>
      </c>
      <c r="H1244" s="7" t="str">
        <f>T("20080201")</f>
        <v>20080201</v>
      </c>
      <c r="I1244" s="7">
        <v>38</v>
      </c>
      <c r="J1244" s="7">
        <v>228</v>
      </c>
      <c r="K1244" s="9" t="s">
        <v>1347</v>
      </c>
    </row>
    <row r="1245" spans="1:11" x14ac:dyDescent="0.25">
      <c r="A1245" s="5">
        <v>1233</v>
      </c>
      <c r="B1245" s="5">
        <v>88</v>
      </c>
      <c r="C1245" s="10" t="s">
        <v>193</v>
      </c>
      <c r="D1245" s="7" t="s">
        <v>2545</v>
      </c>
      <c r="E1245" s="8" t="str">
        <f>T("阿尼帕的故事")</f>
        <v>阿尼帕的故事</v>
      </c>
      <c r="F1245" s="7" t="s">
        <v>1962</v>
      </c>
      <c r="G1245" s="7" t="str">
        <f>T("伊犁人民")</f>
        <v>伊犁人民</v>
      </c>
      <c r="H1245" s="7" t="str">
        <f>T("20101201")</f>
        <v>20101201</v>
      </c>
      <c r="I1245" s="7">
        <v>18</v>
      </c>
      <c r="J1245" s="7">
        <v>108</v>
      </c>
      <c r="K1245" s="9" t="s">
        <v>1347</v>
      </c>
    </row>
    <row r="1246" spans="1:11" x14ac:dyDescent="0.25">
      <c r="A1246" s="5">
        <v>1234</v>
      </c>
      <c r="B1246" s="5">
        <v>89</v>
      </c>
      <c r="C1246" s="10" t="s">
        <v>714</v>
      </c>
      <c r="D1246" s="7" t="s">
        <v>2546</v>
      </c>
      <c r="E1246" s="8" t="str">
        <f>T("上海生活原生態叢書—經濟生活樣本")</f>
        <v>上海生活原生態叢書—經濟生活樣本</v>
      </c>
      <c r="F1246" s="7" t="s">
        <v>1962</v>
      </c>
      <c r="G1246" s="7" t="str">
        <f>T("漢語大詞典")</f>
        <v>漢語大詞典</v>
      </c>
      <c r="H1246" s="7" t="str">
        <f>T("20060101")</f>
        <v>20060101</v>
      </c>
      <c r="I1246" s="7">
        <v>19</v>
      </c>
      <c r="J1246" s="7">
        <v>114</v>
      </c>
      <c r="K1246" s="9" t="s">
        <v>1347</v>
      </c>
    </row>
    <row r="1247" spans="1:11" x14ac:dyDescent="0.25">
      <c r="A1247" s="5">
        <v>1235</v>
      </c>
      <c r="B1247" s="5">
        <v>90</v>
      </c>
      <c r="C1247" s="10" t="s">
        <v>886</v>
      </c>
      <c r="D1247" s="7" t="s">
        <v>2547</v>
      </c>
      <c r="E1247" s="8" t="str">
        <f>T("電影往事")</f>
        <v>電影往事</v>
      </c>
      <c r="F1247" s="7" t="s">
        <v>2959</v>
      </c>
      <c r="G1247" s="7" t="str">
        <f>T("上海教育")</f>
        <v>上海教育</v>
      </c>
      <c r="H1247" s="7" t="str">
        <f>T("20081201")</f>
        <v>20081201</v>
      </c>
      <c r="I1247" s="7">
        <v>98</v>
      </c>
      <c r="J1247" s="7">
        <v>588</v>
      </c>
      <c r="K1247" s="9" t="s">
        <v>1347</v>
      </c>
    </row>
    <row r="1248" spans="1:11" x14ac:dyDescent="0.25">
      <c r="A1248" s="5">
        <v>1236</v>
      </c>
      <c r="B1248" s="5">
        <v>91</v>
      </c>
      <c r="C1248" s="10" t="s">
        <v>510</v>
      </c>
      <c r="D1248" s="7" t="s">
        <v>2548</v>
      </c>
      <c r="E1248" s="8" t="str">
        <f>T("感天動地民族情")</f>
        <v>感天動地民族情</v>
      </c>
      <c r="F1248" s="7" t="s">
        <v>1962</v>
      </c>
      <c r="G1248" s="7" t="str">
        <f>T("新疆科技")</f>
        <v>新疆科技</v>
      </c>
      <c r="H1248" s="7" t="str">
        <f>T("20120301")</f>
        <v>20120301</v>
      </c>
      <c r="I1248" s="7">
        <v>25</v>
      </c>
      <c r="J1248" s="7">
        <v>150</v>
      </c>
      <c r="K1248" s="9" t="s">
        <v>1347</v>
      </c>
    </row>
    <row r="1249" spans="1:11" x14ac:dyDescent="0.25">
      <c r="A1249" s="5">
        <v>1237</v>
      </c>
      <c r="B1249" s="5">
        <v>92</v>
      </c>
      <c r="C1249" s="10" t="s">
        <v>512</v>
      </c>
      <c r="D1249" s="7" t="s">
        <v>2549</v>
      </c>
      <c r="E1249" s="8" t="str">
        <f>T("賣羊肉串串的阿里木")</f>
        <v>賣羊肉串串的阿里木</v>
      </c>
      <c r="F1249" s="7" t="s">
        <v>1962</v>
      </c>
      <c r="G1249" s="7" t="str">
        <f t="shared" ref="G1249:G1256" si="56">T("新疆美攝")</f>
        <v>新疆美攝</v>
      </c>
      <c r="H1249" s="7" t="str">
        <f>T("20080201")</f>
        <v>20080201</v>
      </c>
      <c r="I1249" s="7">
        <v>36</v>
      </c>
      <c r="J1249" s="7">
        <v>216</v>
      </c>
      <c r="K1249" s="9" t="s">
        <v>1347</v>
      </c>
    </row>
    <row r="1250" spans="1:11" x14ac:dyDescent="0.25">
      <c r="A1250" s="5">
        <v>1238</v>
      </c>
      <c r="B1250" s="5">
        <v>93</v>
      </c>
      <c r="C1250" s="10" t="s">
        <v>524</v>
      </c>
      <c r="D1250" s="7" t="s">
        <v>2550</v>
      </c>
      <c r="E1250" s="8" t="str">
        <f>T("農民畫說新疆巨變(1)-黨的關懷暖人心")</f>
        <v>農民畫說新疆巨變(1)-黨的關懷暖人心</v>
      </c>
      <c r="F1250" s="7" t="s">
        <v>1962</v>
      </c>
      <c r="G1250" s="7" t="str">
        <f t="shared" si="56"/>
        <v>新疆美攝</v>
      </c>
      <c r="H1250" s="7" t="str">
        <f>T("20101201")</f>
        <v>20101201</v>
      </c>
      <c r="I1250" s="7">
        <v>19.600000000000001</v>
      </c>
      <c r="J1250" s="7">
        <v>118</v>
      </c>
      <c r="K1250" s="9" t="s">
        <v>1347</v>
      </c>
    </row>
    <row r="1251" spans="1:11" x14ac:dyDescent="0.25">
      <c r="A1251" s="5">
        <v>1239</v>
      </c>
      <c r="B1251" s="5">
        <v>94</v>
      </c>
      <c r="C1251" s="10" t="s">
        <v>521</v>
      </c>
      <c r="D1251" s="7" t="s">
        <v>2551</v>
      </c>
      <c r="E1251" s="8" t="str">
        <f>T("農民畫說新疆巨變(2)-重大項目促發展")</f>
        <v>農民畫說新疆巨變(2)-重大項目促發展</v>
      </c>
      <c r="F1251" s="7" t="s">
        <v>1962</v>
      </c>
      <c r="G1251" s="7" t="str">
        <f t="shared" si="56"/>
        <v>新疆美攝</v>
      </c>
      <c r="H1251" s="7" t="str">
        <f>T("20121203")</f>
        <v>20121203</v>
      </c>
      <c r="I1251" s="7">
        <v>19.600000000000001</v>
      </c>
      <c r="J1251" s="7">
        <v>118</v>
      </c>
      <c r="K1251" s="9" t="s">
        <v>1347</v>
      </c>
    </row>
    <row r="1252" spans="1:11" x14ac:dyDescent="0.25">
      <c r="A1252" s="5">
        <v>1240</v>
      </c>
      <c r="B1252" s="5">
        <v>95</v>
      </c>
      <c r="C1252" s="10" t="s">
        <v>523</v>
      </c>
      <c r="D1252" s="7" t="s">
        <v>2552</v>
      </c>
      <c r="E1252" s="8" t="str">
        <f>T("農民畫說新疆巨變(3)-共同構建和諧社會")</f>
        <v>農民畫說新疆巨變(3)-共同構建和諧社會</v>
      </c>
      <c r="F1252" s="7" t="s">
        <v>1962</v>
      </c>
      <c r="G1252" s="7" t="str">
        <f t="shared" si="56"/>
        <v>新疆美攝</v>
      </c>
      <c r="H1252" s="7" t="str">
        <f>T("20101201")</f>
        <v>20101201</v>
      </c>
      <c r="I1252" s="7">
        <v>19.600000000000001</v>
      </c>
      <c r="J1252" s="7">
        <v>118</v>
      </c>
      <c r="K1252" s="9" t="s">
        <v>1347</v>
      </c>
    </row>
    <row r="1253" spans="1:11" x14ac:dyDescent="0.25">
      <c r="A1253" s="5">
        <v>1241</v>
      </c>
      <c r="B1253" s="5">
        <v>96</v>
      </c>
      <c r="C1253" s="10" t="s">
        <v>520</v>
      </c>
      <c r="D1253" s="7" t="s">
        <v>2553</v>
      </c>
      <c r="E1253" s="8" t="str">
        <f>T("農民畫說新疆巨變(4)-各族人民一家親")</f>
        <v>農民畫說新疆巨變(4)-各族人民一家親</v>
      </c>
      <c r="F1253" s="7" t="s">
        <v>1962</v>
      </c>
      <c r="G1253" s="7" t="str">
        <f t="shared" si="56"/>
        <v>新疆美攝</v>
      </c>
      <c r="H1253" s="7" t="str">
        <f>T("20101201")</f>
        <v>20101201</v>
      </c>
      <c r="I1253" s="7">
        <v>19.600000000000001</v>
      </c>
      <c r="J1253" s="7">
        <v>118</v>
      </c>
      <c r="K1253" s="9" t="s">
        <v>1347</v>
      </c>
    </row>
    <row r="1254" spans="1:11" x14ac:dyDescent="0.25">
      <c r="A1254" s="5">
        <v>1242</v>
      </c>
      <c r="B1254" s="5">
        <v>97</v>
      </c>
      <c r="C1254" s="10" t="s">
        <v>519</v>
      </c>
      <c r="D1254" s="7" t="s">
        <v>2554</v>
      </c>
      <c r="E1254" s="8" t="str">
        <f>T("農民畫說新疆巨變(5)-五湖四海兄弟情")</f>
        <v>農民畫說新疆巨變(5)-五湖四海兄弟情</v>
      </c>
      <c r="F1254" s="7" t="s">
        <v>1962</v>
      </c>
      <c r="G1254" s="7" t="str">
        <f t="shared" si="56"/>
        <v>新疆美攝</v>
      </c>
      <c r="H1254" s="7" t="str">
        <f>T("20101201")</f>
        <v>20101201</v>
      </c>
      <c r="I1254" s="7">
        <v>19.600000000000001</v>
      </c>
      <c r="J1254" s="7">
        <v>118</v>
      </c>
      <c r="K1254" s="9" t="s">
        <v>1347</v>
      </c>
    </row>
    <row r="1255" spans="1:11" x14ac:dyDescent="0.25">
      <c r="A1255" s="5">
        <v>1243</v>
      </c>
      <c r="B1255" s="5">
        <v>98</v>
      </c>
      <c r="C1255" s="10" t="s">
        <v>522</v>
      </c>
      <c r="D1255" s="7" t="s">
        <v>2555</v>
      </c>
      <c r="E1255" s="8" t="str">
        <f>T("農民畫說新疆巨變(6)-幸福的歌兒甜蜜蜜")</f>
        <v>農民畫說新疆巨變(6)-幸福的歌兒甜蜜蜜</v>
      </c>
      <c r="F1255" s="7" t="s">
        <v>1962</v>
      </c>
      <c r="G1255" s="7" t="str">
        <f t="shared" si="56"/>
        <v>新疆美攝</v>
      </c>
      <c r="H1255" s="7" t="str">
        <f>T("20101201")</f>
        <v>20101201</v>
      </c>
      <c r="I1255" s="7">
        <v>19.600000000000001</v>
      </c>
      <c r="J1255" s="7">
        <v>118</v>
      </c>
      <c r="K1255" s="9" t="s">
        <v>1347</v>
      </c>
    </row>
    <row r="1256" spans="1:11" x14ac:dyDescent="0.25">
      <c r="A1256" s="5">
        <v>1244</v>
      </c>
      <c r="B1256" s="5">
        <v>99</v>
      </c>
      <c r="C1256" s="10" t="s">
        <v>518</v>
      </c>
      <c r="D1256" s="7" t="s">
        <v>2556</v>
      </c>
      <c r="E1256" s="8" t="str">
        <f>T("農民畫說新疆巨變(7)-新農村裡的新鮮事")</f>
        <v>農民畫說新疆巨變(7)-新農村裡的新鮮事</v>
      </c>
      <c r="F1256" s="7" t="s">
        <v>1962</v>
      </c>
      <c r="G1256" s="7" t="str">
        <f t="shared" si="56"/>
        <v>新疆美攝</v>
      </c>
      <c r="H1256" s="7" t="str">
        <f>T("20101201")</f>
        <v>20101201</v>
      </c>
      <c r="I1256" s="7">
        <v>19.600000000000001</v>
      </c>
      <c r="J1256" s="7">
        <v>118</v>
      </c>
      <c r="K1256" s="9" t="s">
        <v>1347</v>
      </c>
    </row>
    <row r="1257" spans="1:11" x14ac:dyDescent="0.25">
      <c r="A1257" s="5">
        <v>1245</v>
      </c>
      <c r="B1257" s="5">
        <v>100</v>
      </c>
      <c r="C1257" s="10" t="s">
        <v>900</v>
      </c>
      <c r="D1257" s="7" t="s">
        <v>2557</v>
      </c>
      <c r="E1257" s="8" t="str">
        <f>T("我的視覺日記")</f>
        <v>我的視覺日記</v>
      </c>
      <c r="F1257" s="7" t="s">
        <v>3593</v>
      </c>
      <c r="G1257" s="7" t="str">
        <f>T("東方")</f>
        <v>東方</v>
      </c>
      <c r="H1257" s="7" t="str">
        <f>T("")</f>
        <v/>
      </c>
      <c r="I1257" s="7">
        <v>30</v>
      </c>
      <c r="J1257" s="7">
        <v>180</v>
      </c>
      <c r="K1257" s="9" t="s">
        <v>1347</v>
      </c>
    </row>
    <row r="1258" spans="1:11" x14ac:dyDescent="0.25">
      <c r="A1258" s="5">
        <v>1246</v>
      </c>
      <c r="B1258" s="5">
        <v>101</v>
      </c>
      <c r="C1258" s="10" t="s">
        <v>913</v>
      </c>
      <c r="D1258" s="7" t="s">
        <v>2558</v>
      </c>
      <c r="E1258" s="8" t="str">
        <f>T("什麼是翻譯？離心式理論，批判式介入")</f>
        <v>什麼是翻譯？離心式理論，批判式介入</v>
      </c>
      <c r="F1258" s="7" t="s">
        <v>3594</v>
      </c>
      <c r="G1258" s="7" t="str">
        <f>T("外語教研")</f>
        <v>外語教研</v>
      </c>
      <c r="H1258" s="7" t="str">
        <f>T("20070601")</f>
        <v>20070601</v>
      </c>
      <c r="I1258" s="7">
        <v>26</v>
      </c>
      <c r="J1258" s="7">
        <v>156</v>
      </c>
      <c r="K1258" s="9" t="s">
        <v>1347</v>
      </c>
    </row>
    <row r="1259" spans="1:11" x14ac:dyDescent="0.25">
      <c r="A1259" s="5">
        <v>1247</v>
      </c>
      <c r="B1259" s="5">
        <v>102</v>
      </c>
      <c r="C1259" s="10" t="s">
        <v>921</v>
      </c>
      <c r="D1259" s="7" t="s">
        <v>2559</v>
      </c>
      <c r="E1259" s="8" t="str">
        <f>T("高等管理文論")</f>
        <v>高等管理文論</v>
      </c>
      <c r="F1259" s="7" t="s">
        <v>3595</v>
      </c>
      <c r="G1259" s="7" t="str">
        <f t="shared" ref="G1259:G1267" si="57">T("華東師大")</f>
        <v>華東師大</v>
      </c>
      <c r="H1259" s="7" t="str">
        <f>T("20051201")</f>
        <v>20051201</v>
      </c>
      <c r="I1259" s="7">
        <v>25</v>
      </c>
      <c r="J1259" s="7">
        <v>150</v>
      </c>
      <c r="K1259" s="9" t="s">
        <v>1347</v>
      </c>
    </row>
    <row r="1260" spans="1:11" x14ac:dyDescent="0.25">
      <c r="A1260" s="5">
        <v>1248</v>
      </c>
      <c r="B1260" s="5">
        <v>103</v>
      </c>
      <c r="C1260" s="10" t="s">
        <v>922</v>
      </c>
      <c r="D1260" s="7" t="s">
        <v>2560</v>
      </c>
      <c r="E1260" s="8" t="str">
        <f>T("思想是舍利子")</f>
        <v>思想是舍利子</v>
      </c>
      <c r="F1260" s="7" t="s">
        <v>3596</v>
      </c>
      <c r="G1260" s="7" t="str">
        <f t="shared" si="57"/>
        <v>華東師大</v>
      </c>
      <c r="H1260" s="7" t="str">
        <f>T("20070901")</f>
        <v>20070901</v>
      </c>
      <c r="I1260" s="7">
        <v>20</v>
      </c>
      <c r="J1260" s="7">
        <v>120</v>
      </c>
      <c r="K1260" s="9" t="s">
        <v>1347</v>
      </c>
    </row>
    <row r="1261" spans="1:11" ht="28.5" x14ac:dyDescent="0.25">
      <c r="A1261" s="5">
        <v>1249</v>
      </c>
      <c r="B1261" s="5">
        <v>104</v>
      </c>
      <c r="C1261" s="10" t="s">
        <v>923</v>
      </c>
      <c r="D1261" s="7" t="s">
        <v>2561</v>
      </c>
      <c r="E1261" s="8" t="str">
        <f>T("1CD--德語高級口譯技能訓練與實戰演練教程")</f>
        <v>1CD--德語高級口譯技能訓練與實戰演練教程</v>
      </c>
      <c r="F1261" s="7" t="s">
        <v>3597</v>
      </c>
      <c r="G1261" s="7" t="str">
        <f t="shared" si="57"/>
        <v>華東師大</v>
      </c>
      <c r="H1261" s="7" t="str">
        <f>T("20060101")</f>
        <v>20060101</v>
      </c>
      <c r="I1261" s="7">
        <v>35</v>
      </c>
      <c r="J1261" s="7">
        <v>210</v>
      </c>
      <c r="K1261" s="9" t="s">
        <v>1347</v>
      </c>
    </row>
    <row r="1262" spans="1:11" x14ac:dyDescent="0.25">
      <c r="A1262" s="5">
        <v>1250</v>
      </c>
      <c r="B1262" s="5">
        <v>105</v>
      </c>
      <c r="C1262" s="10" t="s">
        <v>925</v>
      </c>
      <c r="D1262" s="7" t="s">
        <v>2562</v>
      </c>
      <c r="E1262" s="8" t="str">
        <f>T("超越早期教育保育品質－後現代視角")</f>
        <v>超越早期教育保育品質－後現代視角</v>
      </c>
      <c r="F1262" s="7" t="s">
        <v>3598</v>
      </c>
      <c r="G1262" s="7" t="str">
        <f t="shared" si="57"/>
        <v>華東師大</v>
      </c>
      <c r="H1262" s="7" t="str">
        <f>T("20060301")</f>
        <v>20060301</v>
      </c>
      <c r="I1262" s="7">
        <v>26</v>
      </c>
      <c r="J1262" s="7">
        <v>156</v>
      </c>
      <c r="K1262" s="9" t="s">
        <v>261</v>
      </c>
    </row>
    <row r="1263" spans="1:11" ht="28.5" x14ac:dyDescent="0.25">
      <c r="A1263" s="5">
        <v>1251</v>
      </c>
      <c r="B1263" s="5">
        <v>106</v>
      </c>
      <c r="C1263" s="10" t="s">
        <v>926</v>
      </c>
      <c r="D1263" s="7" t="s">
        <v>2563</v>
      </c>
      <c r="E1263" s="8" t="str">
        <f>T("普通教育學－教育思想和行動基本結構的系統的和問題史的引論")</f>
        <v>普通教育學－教育思想和行動基本結構的系統的和問題史的引論</v>
      </c>
      <c r="F1263" s="7" t="s">
        <v>3599</v>
      </c>
      <c r="G1263" s="7" t="str">
        <f t="shared" si="57"/>
        <v>華東師大</v>
      </c>
      <c r="H1263" s="7" t="str">
        <f>T("20060201")</f>
        <v>20060201</v>
      </c>
      <c r="I1263" s="7">
        <v>32</v>
      </c>
      <c r="J1263" s="7">
        <v>192</v>
      </c>
      <c r="K1263" s="9" t="s">
        <v>1347</v>
      </c>
    </row>
    <row r="1264" spans="1:11" x14ac:dyDescent="0.25">
      <c r="A1264" s="5">
        <v>1252</v>
      </c>
      <c r="B1264" s="5">
        <v>107</v>
      </c>
      <c r="C1264" s="10" t="s">
        <v>927</v>
      </c>
      <c r="D1264" s="7" t="s">
        <v>2564</v>
      </c>
      <c r="E1264" s="8" t="str">
        <f>T("中國教育研究新進展.2004")</f>
        <v>中國教育研究新進展.2004</v>
      </c>
      <c r="F1264" s="7" t="s">
        <v>3600</v>
      </c>
      <c r="G1264" s="7" t="str">
        <f t="shared" si="57"/>
        <v>華東師大</v>
      </c>
      <c r="H1264" s="7" t="str">
        <f>T("20060101")</f>
        <v>20060101</v>
      </c>
      <c r="I1264" s="7">
        <v>42</v>
      </c>
      <c r="J1264" s="7">
        <v>252</v>
      </c>
      <c r="K1264" s="9" t="s">
        <v>261</v>
      </c>
    </row>
    <row r="1265" spans="1:11" x14ac:dyDescent="0.25">
      <c r="A1265" s="5">
        <v>1253</v>
      </c>
      <c r="B1265" s="5">
        <v>108</v>
      </c>
      <c r="C1265" s="10" t="s">
        <v>928</v>
      </c>
      <c r="D1265" s="7" t="s">
        <v>2565</v>
      </c>
      <c r="E1265" s="8" t="str">
        <f>T("中國高等教育研究新進展2004")</f>
        <v>中國高等教育研究新進展2004</v>
      </c>
      <c r="F1265" s="7" t="s">
        <v>3601</v>
      </c>
      <c r="G1265" s="7" t="str">
        <f t="shared" si="57"/>
        <v>華東師大</v>
      </c>
      <c r="H1265" s="7" t="str">
        <f>T("20060101")</f>
        <v>20060101</v>
      </c>
      <c r="I1265" s="7">
        <v>37</v>
      </c>
      <c r="J1265" s="7">
        <v>222</v>
      </c>
      <c r="K1265" s="9" t="s">
        <v>261</v>
      </c>
    </row>
    <row r="1266" spans="1:11" x14ac:dyDescent="0.25">
      <c r="A1266" s="5">
        <v>1254</v>
      </c>
      <c r="B1266" s="5">
        <v>109</v>
      </c>
      <c r="C1266" s="10" t="s">
        <v>929</v>
      </c>
      <c r="D1266" s="7" t="s">
        <v>2566</v>
      </c>
      <c r="E1266" s="8" t="str">
        <f>T("動物為什麼有（共10冊）")</f>
        <v>動物為什麼有（共10冊）</v>
      </c>
      <c r="F1266" s="7" t="s">
        <v>3602</v>
      </c>
      <c r="G1266" s="7" t="str">
        <f t="shared" si="57"/>
        <v>華東師大</v>
      </c>
      <c r="H1266" s="7" t="str">
        <f>T("20060401")</f>
        <v>20060401</v>
      </c>
      <c r="I1266" s="7">
        <v>80</v>
      </c>
      <c r="J1266" s="7">
        <v>480</v>
      </c>
      <c r="K1266" s="9" t="s">
        <v>261</v>
      </c>
    </row>
    <row r="1267" spans="1:11" ht="28.5" x14ac:dyDescent="0.25">
      <c r="A1267" s="5">
        <v>1255</v>
      </c>
      <c r="B1267" s="5">
        <v>110</v>
      </c>
      <c r="C1267" s="10" t="s">
        <v>931</v>
      </c>
      <c r="D1267" s="7" t="s">
        <v>2567</v>
      </c>
      <c r="E1267" s="8" t="str">
        <f>T("教育展望：在不同的情境脈絡中評價學生的成績")</f>
        <v>教育展望：在不同的情境脈絡中評價學生的成績</v>
      </c>
      <c r="F1267" s="7" t="s">
        <v>2616</v>
      </c>
      <c r="G1267" s="7" t="str">
        <f t="shared" si="57"/>
        <v>華東師大</v>
      </c>
      <c r="H1267" s="7" t="str">
        <f>T("20060301")</f>
        <v>20060301</v>
      </c>
      <c r="I1267" s="7">
        <v>38</v>
      </c>
      <c r="J1267" s="7">
        <v>228</v>
      </c>
      <c r="K1267" s="9" t="s">
        <v>261</v>
      </c>
    </row>
    <row r="1268" spans="1:11" x14ac:dyDescent="0.25">
      <c r="A1268" s="5">
        <v>1256</v>
      </c>
      <c r="B1268" s="5">
        <v>111</v>
      </c>
      <c r="C1268" s="10" t="s">
        <v>943</v>
      </c>
      <c r="D1268" s="7" t="s">
        <v>2568</v>
      </c>
      <c r="E1268" s="8" t="str">
        <f>T("閃客江湖:對中國網路動畫的文化解讀")</f>
        <v>閃客江湖:對中國網路動畫的文化解讀</v>
      </c>
      <c r="F1268" s="7" t="s">
        <v>3603</v>
      </c>
      <c r="G1268" s="7" t="str">
        <f>T("廣西師大")</f>
        <v>廣西師大</v>
      </c>
      <c r="H1268" s="7" t="str">
        <f>T("20061201")</f>
        <v>20061201</v>
      </c>
      <c r="I1268" s="7">
        <v>15</v>
      </c>
      <c r="J1268" s="7">
        <v>90</v>
      </c>
      <c r="K1268" s="9" t="s">
        <v>261</v>
      </c>
    </row>
    <row r="1269" spans="1:11" x14ac:dyDescent="0.25">
      <c r="A1269" s="5">
        <v>1257</v>
      </c>
      <c r="B1269" s="5">
        <v>112</v>
      </c>
      <c r="C1269" s="10" t="s">
        <v>954</v>
      </c>
      <c r="D1269" s="7" t="s">
        <v>2569</v>
      </c>
      <c r="E1269" s="8" t="str">
        <f>T("新君王論. 造就政治領袖的五十堂課")</f>
        <v>新君王論. 造就政治領袖的五十堂課</v>
      </c>
      <c r="F1269" s="7" t="s">
        <v>3604</v>
      </c>
      <c r="G1269" s="7" t="str">
        <f>T("廣西師大")</f>
        <v>廣西師大</v>
      </c>
      <c r="H1269" s="7" t="str">
        <f>T("20100101")</f>
        <v>20100101</v>
      </c>
      <c r="I1269" s="7">
        <v>35</v>
      </c>
      <c r="J1269" s="7">
        <v>210</v>
      </c>
      <c r="K1269" s="9" t="s">
        <v>1347</v>
      </c>
    </row>
    <row r="1270" spans="1:11" x14ac:dyDescent="0.25">
      <c r="A1270" s="5">
        <v>1258</v>
      </c>
      <c r="B1270" s="5">
        <v>113</v>
      </c>
      <c r="C1270" s="10" t="s">
        <v>184</v>
      </c>
      <c r="D1270" s="7" t="s">
        <v>2570</v>
      </c>
      <c r="E1270" s="8" t="str">
        <f>T("蒼蒼龍眠")</f>
        <v>蒼蒼龍眠</v>
      </c>
      <c r="F1270" s="7" t="s">
        <v>3605</v>
      </c>
      <c r="G1270" s="7" t="str">
        <f>T("合肥工大")</f>
        <v>合肥工大</v>
      </c>
      <c r="H1270" s="7" t="str">
        <f>T("20091001")</f>
        <v>20091001</v>
      </c>
      <c r="I1270" s="7">
        <v>35</v>
      </c>
      <c r="J1270" s="7">
        <v>210</v>
      </c>
      <c r="K1270" s="9" t="s">
        <v>1347</v>
      </c>
    </row>
    <row r="1271" spans="1:11" x14ac:dyDescent="0.25">
      <c r="A1271" s="5">
        <v>1259</v>
      </c>
      <c r="B1271" s="5">
        <v>114</v>
      </c>
      <c r="C1271" s="10" t="s">
        <v>1010</v>
      </c>
      <c r="D1271" s="7" t="s">
        <v>2571</v>
      </c>
      <c r="E1271" s="8" t="str">
        <f>T("世界軍事未解之謎")</f>
        <v>世界軍事未解之謎</v>
      </c>
      <c r="F1271" s="7" t="s">
        <v>3606</v>
      </c>
      <c r="G1271" s="7" t="str">
        <f>T("光明日報")</f>
        <v>光明日報</v>
      </c>
      <c r="H1271" s="7" t="str">
        <f>T("20100101")</f>
        <v>20100101</v>
      </c>
      <c r="I1271" s="7">
        <v>23.8</v>
      </c>
      <c r="J1271" s="7">
        <v>143</v>
      </c>
      <c r="K1271" s="9" t="s">
        <v>1347</v>
      </c>
    </row>
    <row r="1272" spans="1:11" x14ac:dyDescent="0.25">
      <c r="A1272" s="5">
        <v>1260</v>
      </c>
      <c r="B1272" s="5">
        <v>115</v>
      </c>
      <c r="C1272" s="10" t="s">
        <v>1024</v>
      </c>
      <c r="D1272" s="7" t="s">
        <v>2572</v>
      </c>
      <c r="E1272" s="8" t="str">
        <f>T("華人縱橫天下 李昌鈺")</f>
        <v>華人縱橫天下 李昌鈺</v>
      </c>
      <c r="F1272" s="7" t="s">
        <v>3607</v>
      </c>
      <c r="G1272" s="7" t="str">
        <f>T("現代")</f>
        <v>現代</v>
      </c>
      <c r="H1272" s="7" t="str">
        <f>T("")</f>
        <v/>
      </c>
      <c r="I1272" s="7">
        <v>30</v>
      </c>
      <c r="J1272" s="7">
        <v>180</v>
      </c>
      <c r="K1272" s="9" t="s">
        <v>261</v>
      </c>
    </row>
    <row r="1273" spans="1:11" x14ac:dyDescent="0.25">
      <c r="A1273" s="5">
        <v>1261</v>
      </c>
      <c r="B1273" s="5">
        <v>116</v>
      </c>
      <c r="C1273" s="10" t="s">
        <v>1031</v>
      </c>
      <c r="D1273" s="7" t="s">
        <v>2573</v>
      </c>
      <c r="E1273" s="8" t="str">
        <f>T("2008北京奧運讀本")</f>
        <v>2008北京奧運讀本</v>
      </c>
      <c r="F1273" s="7" t="s">
        <v>3608</v>
      </c>
      <c r="G1273" s="7" t="str">
        <f>T("人民日報")</f>
        <v>人民日報</v>
      </c>
      <c r="H1273" s="7" t="str">
        <f>T("20070601")</f>
        <v>20070601</v>
      </c>
      <c r="I1273" s="7">
        <v>20</v>
      </c>
      <c r="J1273" s="7">
        <v>120</v>
      </c>
      <c r="K1273" s="9" t="s">
        <v>261</v>
      </c>
    </row>
    <row r="1274" spans="1:11" x14ac:dyDescent="0.25">
      <c r="A1274" s="5">
        <v>1262</v>
      </c>
      <c r="B1274" s="5">
        <v>117</v>
      </c>
      <c r="C1274" s="10" t="s">
        <v>1032</v>
      </c>
      <c r="D1274" s="7" t="s">
        <v>2574</v>
      </c>
      <c r="E1274" s="8" t="str">
        <f>T("奧林匹克知識讀本")</f>
        <v>奧林匹克知識讀本</v>
      </c>
      <c r="F1274" s="7" t="s">
        <v>3608</v>
      </c>
      <c r="G1274" s="7" t="str">
        <f>T("人民日報")</f>
        <v>人民日報</v>
      </c>
      <c r="H1274" s="7" t="str">
        <f>T("20070601")</f>
        <v>20070601</v>
      </c>
      <c r="I1274" s="7">
        <v>20</v>
      </c>
      <c r="J1274" s="7">
        <v>120</v>
      </c>
      <c r="K1274" s="9" t="s">
        <v>261</v>
      </c>
    </row>
    <row r="1275" spans="1:11" ht="28.5" x14ac:dyDescent="0.25">
      <c r="A1275" s="5">
        <v>1263</v>
      </c>
      <c r="B1275" s="5">
        <v>118</v>
      </c>
      <c r="C1275" s="10" t="s">
        <v>1041</v>
      </c>
      <c r="D1275" s="7" t="s">
        <v>2575</v>
      </c>
      <c r="E1275" s="8" t="str">
        <f>T("&lt;&lt;中國共產黨黨員領導幹部廉潔從政若干準則&gt;&gt;學習問答")</f>
        <v>&lt;&lt;中國共產黨黨員領導幹部廉潔從政若干準則&gt;&gt;學習問答</v>
      </c>
      <c r="F1275" s="7" t="s">
        <v>3609</v>
      </c>
      <c r="G1275" s="7" t="str">
        <f>T("中國方正")</f>
        <v>中國方正</v>
      </c>
      <c r="H1275" s="7" t="str">
        <f>T("20100401")</f>
        <v>20100401</v>
      </c>
      <c r="I1275" s="7">
        <v>25</v>
      </c>
      <c r="J1275" s="7">
        <v>150</v>
      </c>
      <c r="K1275" s="9" t="s">
        <v>261</v>
      </c>
    </row>
    <row r="1276" spans="1:11" x14ac:dyDescent="0.25">
      <c r="A1276" s="5">
        <v>1264</v>
      </c>
      <c r="B1276" s="5">
        <v>119</v>
      </c>
      <c r="C1276" s="10" t="s">
        <v>1069</v>
      </c>
      <c r="D1276" s="7" t="s">
        <v>2576</v>
      </c>
      <c r="E1276" s="8" t="str">
        <f>T("1CD-盤鷹風箏")</f>
        <v>1CD-盤鷹風箏</v>
      </c>
      <c r="F1276" s="7" t="s">
        <v>3610</v>
      </c>
      <c r="G1276" s="7" t="str">
        <f>T("新世界")</f>
        <v>新世界</v>
      </c>
      <c r="H1276" s="7" t="str">
        <f>T("20071101")</f>
        <v>20071101</v>
      </c>
      <c r="I1276" s="7">
        <v>49.8</v>
      </c>
      <c r="J1276" s="7">
        <v>299</v>
      </c>
      <c r="K1276" s="9" t="s">
        <v>261</v>
      </c>
    </row>
    <row r="1277" spans="1:11" x14ac:dyDescent="0.25">
      <c r="A1277" s="5">
        <v>1265</v>
      </c>
      <c r="B1277" s="5">
        <v>120</v>
      </c>
      <c r="C1277" s="10" t="s">
        <v>1075</v>
      </c>
      <c r="D1277" s="7" t="s">
        <v>2577</v>
      </c>
      <c r="E1277" s="8" t="str">
        <f>T("米格風雲：米格飛機的傳奇")</f>
        <v>米格風雲：米格飛機的傳奇</v>
      </c>
      <c r="F1277" s="7" t="s">
        <v>3611</v>
      </c>
      <c r="G1277" s="7" t="str">
        <f>T("航空工業")</f>
        <v>航空工業</v>
      </c>
      <c r="H1277" s="7" t="str">
        <f>T("20100201")</f>
        <v>20100201</v>
      </c>
      <c r="I1277" s="7">
        <v>28</v>
      </c>
      <c r="J1277" s="7">
        <v>168</v>
      </c>
      <c r="K1277" s="9" t="s">
        <v>261</v>
      </c>
    </row>
    <row r="1278" spans="1:11" x14ac:dyDescent="0.25">
      <c r="A1278" s="5">
        <v>1266</v>
      </c>
      <c r="B1278" s="5">
        <v>121</v>
      </c>
      <c r="C1278" s="10" t="s">
        <v>1076</v>
      </c>
      <c r="D1278" s="7" t="s">
        <v>2578</v>
      </c>
      <c r="E1278" s="8" t="str">
        <f>T("銀行家馬蔚華")</f>
        <v>銀行家馬蔚華</v>
      </c>
      <c r="F1278" s="7" t="s">
        <v>3612</v>
      </c>
      <c r="G1278" s="7" t="str">
        <f t="shared" ref="G1278:G1285" si="58">T("現代")</f>
        <v>現代</v>
      </c>
      <c r="H1278" s="7" t="str">
        <f t="shared" ref="H1278:H1285" si="59">T("")</f>
        <v/>
      </c>
      <c r="I1278" s="7">
        <v>37</v>
      </c>
      <c r="J1278" s="7">
        <v>222</v>
      </c>
      <c r="K1278" s="9" t="s">
        <v>261</v>
      </c>
    </row>
    <row r="1279" spans="1:11" x14ac:dyDescent="0.25">
      <c r="A1279" s="5">
        <v>1267</v>
      </c>
      <c r="B1279" s="5">
        <v>122</v>
      </c>
      <c r="C1279" s="10" t="s">
        <v>1077</v>
      </c>
      <c r="D1279" s="7" t="s">
        <v>2579</v>
      </c>
      <c r="E1279" s="8" t="str">
        <f>T("猛牛牛根生")</f>
        <v>猛牛牛根生</v>
      </c>
      <c r="F1279" s="7" t="s">
        <v>3613</v>
      </c>
      <c r="G1279" s="7" t="str">
        <f t="shared" si="58"/>
        <v>現代</v>
      </c>
      <c r="H1279" s="7" t="str">
        <f t="shared" si="59"/>
        <v/>
      </c>
      <c r="I1279" s="7">
        <v>38</v>
      </c>
      <c r="J1279" s="7">
        <v>228</v>
      </c>
      <c r="K1279" s="9" t="s">
        <v>261</v>
      </c>
    </row>
    <row r="1280" spans="1:11" x14ac:dyDescent="0.25">
      <c r="A1280" s="5">
        <v>1268</v>
      </c>
      <c r="B1280" s="5">
        <v>123</v>
      </c>
      <c r="C1280" s="10" t="s">
        <v>1078</v>
      </c>
      <c r="D1280" s="7" t="s">
        <v>2580</v>
      </c>
      <c r="E1280" s="8" t="str">
        <f>T("漫畫兔的玩笑")</f>
        <v>漫畫兔的玩笑</v>
      </c>
      <c r="F1280" s="7" t="s">
        <v>3614</v>
      </c>
      <c r="G1280" s="7" t="str">
        <f t="shared" si="58"/>
        <v>現代</v>
      </c>
      <c r="H1280" s="7" t="str">
        <f t="shared" si="59"/>
        <v/>
      </c>
      <c r="I1280" s="7">
        <v>23.8</v>
      </c>
      <c r="J1280" s="7">
        <v>143</v>
      </c>
      <c r="K1280" s="9" t="s">
        <v>261</v>
      </c>
    </row>
    <row r="1281" spans="1:11" x14ac:dyDescent="0.25">
      <c r="A1281" s="5">
        <v>1269</v>
      </c>
      <c r="B1281" s="5">
        <v>124</v>
      </c>
      <c r="C1281" s="10" t="s">
        <v>1079</v>
      </c>
      <c r="D1281" s="7" t="s">
        <v>2581</v>
      </c>
      <c r="E1281" s="8" t="str">
        <f>T("搜王李彥宏")</f>
        <v>搜王李彥宏</v>
      </c>
      <c r="F1281" s="7" t="s">
        <v>3613</v>
      </c>
      <c r="G1281" s="7" t="str">
        <f t="shared" si="58"/>
        <v>現代</v>
      </c>
      <c r="H1281" s="7" t="str">
        <f t="shared" si="59"/>
        <v/>
      </c>
      <c r="I1281" s="7">
        <v>34</v>
      </c>
      <c r="J1281" s="7">
        <v>204</v>
      </c>
      <c r="K1281" s="9" t="s">
        <v>261</v>
      </c>
    </row>
    <row r="1282" spans="1:11" x14ac:dyDescent="0.25">
      <c r="A1282" s="5">
        <v>1270</v>
      </c>
      <c r="B1282" s="5">
        <v>125</v>
      </c>
      <c r="C1282" s="10" t="s">
        <v>1080</v>
      </c>
      <c r="D1282" s="7" t="s">
        <v>2582</v>
      </c>
      <c r="E1282" s="8" t="str">
        <f>T("聯想教父柳傳志")</f>
        <v>聯想教父柳傳志</v>
      </c>
      <c r="F1282" s="7" t="s">
        <v>3615</v>
      </c>
      <c r="G1282" s="7" t="str">
        <f t="shared" si="58"/>
        <v>現代</v>
      </c>
      <c r="H1282" s="7" t="str">
        <f t="shared" si="59"/>
        <v/>
      </c>
      <c r="I1282" s="7">
        <v>35</v>
      </c>
      <c r="J1282" s="7">
        <v>210</v>
      </c>
      <c r="K1282" s="9" t="s">
        <v>261</v>
      </c>
    </row>
    <row r="1283" spans="1:11" x14ac:dyDescent="0.25">
      <c r="A1283" s="5">
        <v>1271</v>
      </c>
      <c r="B1283" s="5">
        <v>126</v>
      </c>
      <c r="C1283" s="10" t="s">
        <v>1081</v>
      </c>
      <c r="D1283" s="7" t="s">
        <v>2583</v>
      </c>
      <c r="E1283" s="8" t="str">
        <f>T("江湖商人史玉柱")</f>
        <v>江湖商人史玉柱</v>
      </c>
      <c r="F1283" s="7" t="s">
        <v>3616</v>
      </c>
      <c r="G1283" s="7" t="str">
        <f t="shared" si="58"/>
        <v>現代</v>
      </c>
      <c r="H1283" s="7" t="str">
        <f t="shared" si="59"/>
        <v/>
      </c>
      <c r="I1283" s="7">
        <v>37</v>
      </c>
      <c r="J1283" s="7">
        <v>222</v>
      </c>
      <c r="K1283" s="9" t="s">
        <v>261</v>
      </c>
    </row>
    <row r="1284" spans="1:11" x14ac:dyDescent="0.25">
      <c r="A1284" s="5">
        <v>1272</v>
      </c>
      <c r="B1284" s="5">
        <v>127</v>
      </c>
      <c r="C1284" s="10" t="s">
        <v>1083</v>
      </c>
      <c r="D1284" s="7" t="s">
        <v>2584</v>
      </c>
      <c r="E1284" s="8" t="str">
        <f>T("張小盒杯洗具")</f>
        <v>張小盒杯洗具</v>
      </c>
      <c r="F1284" s="7" t="s">
        <v>3617</v>
      </c>
      <c r="G1284" s="7" t="str">
        <f t="shared" si="58"/>
        <v>現代</v>
      </c>
      <c r="H1284" s="7" t="str">
        <f t="shared" si="59"/>
        <v/>
      </c>
      <c r="I1284" s="7">
        <v>24</v>
      </c>
      <c r="J1284" s="7">
        <v>144</v>
      </c>
      <c r="K1284" s="9" t="s">
        <v>261</v>
      </c>
    </row>
    <row r="1285" spans="1:11" x14ac:dyDescent="0.25">
      <c r="A1285" s="5">
        <v>1273</v>
      </c>
      <c r="B1285" s="5">
        <v>128</v>
      </c>
      <c r="C1285" s="10" t="s">
        <v>1089</v>
      </c>
      <c r="D1285" s="7" t="s">
        <v>2585</v>
      </c>
      <c r="E1285" s="8" t="str">
        <f>T("你也可以很優秀")</f>
        <v>你也可以很優秀</v>
      </c>
      <c r="F1285" s="7" t="s">
        <v>3500</v>
      </c>
      <c r="G1285" s="7" t="str">
        <f t="shared" si="58"/>
        <v>現代</v>
      </c>
      <c r="H1285" s="7" t="str">
        <f t="shared" si="59"/>
        <v/>
      </c>
      <c r="I1285" s="7">
        <v>22</v>
      </c>
      <c r="J1285" s="7">
        <v>132</v>
      </c>
      <c r="K1285" s="9" t="s">
        <v>261</v>
      </c>
    </row>
    <row r="1286" spans="1:11" x14ac:dyDescent="0.25">
      <c r="A1286" s="5">
        <v>1274</v>
      </c>
      <c r="B1286" s="5">
        <v>129</v>
      </c>
      <c r="C1286" s="10" t="s">
        <v>1094</v>
      </c>
      <c r="D1286" s="7" t="s">
        <v>2586</v>
      </c>
      <c r="E1286" s="8" t="str">
        <f>T("趕走你的憂鬱")</f>
        <v>趕走你的憂鬱</v>
      </c>
      <c r="F1286" s="7" t="s">
        <v>3618</v>
      </c>
      <c r="G1286" s="7" t="str">
        <f>T("金城")</f>
        <v>金城</v>
      </c>
      <c r="H1286" s="7" t="str">
        <f>T("20100701")</f>
        <v>20100701</v>
      </c>
      <c r="I1286" s="7">
        <v>29.8</v>
      </c>
      <c r="J1286" s="7">
        <v>179</v>
      </c>
      <c r="K1286" s="9" t="s">
        <v>1347</v>
      </c>
    </row>
    <row r="1287" spans="1:11" x14ac:dyDescent="0.25">
      <c r="A1287" s="5">
        <v>1275</v>
      </c>
      <c r="B1287" s="5">
        <v>130</v>
      </c>
      <c r="C1287" s="10" t="s">
        <v>1210</v>
      </c>
      <c r="D1287" s="7" t="s">
        <v>2587</v>
      </c>
      <c r="E1287" s="8" t="str">
        <f>T("可持續發展與全球化挑戰")</f>
        <v>可持續發展與全球化挑戰</v>
      </c>
      <c r="F1287" s="7" t="s">
        <v>3619</v>
      </c>
      <c r="G1287" s="7" t="str">
        <f>T("巴蜀書社")</f>
        <v>巴蜀書社</v>
      </c>
      <c r="H1287" s="7" t="str">
        <f>T("20060801")</f>
        <v>20060801</v>
      </c>
      <c r="I1287" s="7">
        <v>42</v>
      </c>
      <c r="J1287" s="7">
        <v>252</v>
      </c>
      <c r="K1287" s="9" t="s">
        <v>1347</v>
      </c>
    </row>
    <row r="1288" spans="1:11" x14ac:dyDescent="0.25">
      <c r="A1288" s="5">
        <v>1276</v>
      </c>
      <c r="B1288" s="5">
        <v>131</v>
      </c>
      <c r="C1288" s="10" t="s">
        <v>1218</v>
      </c>
      <c r="D1288" s="7" t="s">
        <v>2588</v>
      </c>
      <c r="E1288" s="8" t="str">
        <f>T("開卷閒話續編")</f>
        <v>開卷閒話續編</v>
      </c>
      <c r="F1288" s="7" t="s">
        <v>3620</v>
      </c>
      <c r="G1288" s="7" t="str">
        <f>T("嶽麓書社")</f>
        <v>嶽麓書社</v>
      </c>
      <c r="H1288" s="7" t="str">
        <f>T("20050301")</f>
        <v>20050301</v>
      </c>
      <c r="I1288" s="7">
        <v>13.5</v>
      </c>
      <c r="J1288" s="7">
        <v>81</v>
      </c>
      <c r="K1288" s="9" t="s">
        <v>1347</v>
      </c>
    </row>
    <row r="1289" spans="1:11" x14ac:dyDescent="0.25">
      <c r="A1289" s="5">
        <v>1277</v>
      </c>
      <c r="B1289" s="5">
        <v>132</v>
      </c>
      <c r="C1289" s="10" t="s">
        <v>1230</v>
      </c>
      <c r="D1289" s="7" t="s">
        <v>2589</v>
      </c>
      <c r="E1289" s="8" t="str">
        <f>T("上海1800－0600")</f>
        <v>上海1800－0600</v>
      </c>
      <c r="F1289" s="7" t="s">
        <v>3621</v>
      </c>
      <c r="G1289" s="7" t="str">
        <f>T("上海書店")</f>
        <v>上海書店</v>
      </c>
      <c r="H1289" s="7" t="str">
        <f>T("20060101")</f>
        <v>20060101</v>
      </c>
      <c r="I1289" s="7">
        <v>25</v>
      </c>
      <c r="J1289" s="7">
        <v>150</v>
      </c>
      <c r="K1289" s="9" t="s">
        <v>261</v>
      </c>
    </row>
    <row r="1290" spans="1:11" x14ac:dyDescent="0.25">
      <c r="A1290" s="5">
        <v>1278</v>
      </c>
      <c r="B1290" s="5">
        <v>133</v>
      </c>
      <c r="C1290" s="10" t="s">
        <v>1232</v>
      </c>
      <c r="D1290" s="7" t="s">
        <v>2590</v>
      </c>
      <c r="E1290" s="8" t="str">
        <f>T("單挑誰怕誰")</f>
        <v>單挑誰怕誰</v>
      </c>
      <c r="F1290" s="7" t="s">
        <v>3622</v>
      </c>
      <c r="G1290" s="7" t="str">
        <f>T("接力")</f>
        <v>接力</v>
      </c>
      <c r="H1290" s="7" t="str">
        <f>T("")</f>
        <v/>
      </c>
      <c r="I1290" s="7">
        <v>16.8</v>
      </c>
      <c r="J1290" s="7">
        <v>101</v>
      </c>
      <c r="K1290" s="9" t="s">
        <v>261</v>
      </c>
    </row>
    <row r="1291" spans="1:11" x14ac:dyDescent="0.25">
      <c r="A1291" s="5">
        <v>1279</v>
      </c>
      <c r="B1291" s="5">
        <v>134</v>
      </c>
      <c r="C1291" s="10" t="s">
        <v>1233</v>
      </c>
      <c r="D1291" s="7" t="s">
        <v>2591</v>
      </c>
      <c r="E1291" s="8" t="str">
        <f>T("戀戀薰衣草")</f>
        <v>戀戀薰衣草</v>
      </c>
      <c r="F1291" s="7" t="s">
        <v>3622</v>
      </c>
      <c r="G1291" s="7" t="str">
        <f>T("接力")</f>
        <v>接力</v>
      </c>
      <c r="H1291" s="7" t="str">
        <f>T("")</f>
        <v/>
      </c>
      <c r="I1291" s="7">
        <v>16.8</v>
      </c>
      <c r="J1291" s="7">
        <v>101</v>
      </c>
      <c r="K1291" s="9" t="s">
        <v>261</v>
      </c>
    </row>
    <row r="1292" spans="1:11" x14ac:dyDescent="0.25">
      <c r="A1292" s="5">
        <v>1280</v>
      </c>
      <c r="B1292" s="5">
        <v>135</v>
      </c>
      <c r="C1292" s="10" t="s">
        <v>1236</v>
      </c>
      <c r="D1292" s="7" t="s">
        <v>2592</v>
      </c>
      <c r="E1292" s="8" t="str">
        <f>T("人去夢覺時:雕塑大師江小鶼傳")</f>
        <v>人去夢覺時:雕塑大師江小鶼傳</v>
      </c>
      <c r="F1292" s="7" t="s">
        <v>3623</v>
      </c>
      <c r="G1292" s="7" t="str">
        <f>T("上海畫報")</f>
        <v>上海畫報</v>
      </c>
      <c r="H1292" s="7" t="str">
        <f>T("")</f>
        <v/>
      </c>
      <c r="I1292" s="7">
        <v>20</v>
      </c>
      <c r="J1292" s="7">
        <v>120</v>
      </c>
      <c r="K1292" s="9" t="s">
        <v>1347</v>
      </c>
    </row>
    <row r="1293" spans="1:11" x14ac:dyDescent="0.25">
      <c r="A1293" s="5">
        <v>1281</v>
      </c>
      <c r="B1293" s="5">
        <v>136</v>
      </c>
      <c r="C1293" s="10" t="s">
        <v>1262</v>
      </c>
      <c r="D1293" s="7" t="s">
        <v>2593</v>
      </c>
      <c r="E1293" s="8" t="str">
        <f>T("中國功夫寶典")</f>
        <v>中國功夫寶典</v>
      </c>
      <c r="F1293" s="7" t="s">
        <v>3624</v>
      </c>
      <c r="G1293" s="7" t="str">
        <f>T("上海遠東")</f>
        <v>上海遠東</v>
      </c>
      <c r="H1293" s="7" t="str">
        <f>T("20080201")</f>
        <v>20080201</v>
      </c>
      <c r="I1293" s="7">
        <v>28</v>
      </c>
      <c r="J1293" s="7">
        <v>168</v>
      </c>
      <c r="K1293" s="9" t="s">
        <v>261</v>
      </c>
    </row>
    <row r="1294" spans="1:11" x14ac:dyDescent="0.25">
      <c r="A1294" s="5">
        <v>1282</v>
      </c>
      <c r="B1294" s="5">
        <v>137</v>
      </c>
      <c r="C1294" s="10" t="s">
        <v>1272</v>
      </c>
      <c r="D1294" s="7" t="s">
        <v>2594</v>
      </c>
      <c r="E1294" s="8" t="str">
        <f>T("哲學家和狼")</f>
        <v>哲學家和狼</v>
      </c>
      <c r="F1294" s="7" t="s">
        <v>3625</v>
      </c>
      <c r="G1294" s="7" t="str">
        <f>T("京華")</f>
        <v>京華</v>
      </c>
      <c r="H1294" s="7" t="str">
        <f>T("20090401")</f>
        <v>20090401</v>
      </c>
      <c r="I1294" s="7">
        <v>22.8</v>
      </c>
      <c r="J1294" s="7">
        <v>137</v>
      </c>
      <c r="K1294" s="9" t="s">
        <v>261</v>
      </c>
    </row>
    <row r="1295" spans="1:11" x14ac:dyDescent="0.25">
      <c r="A1295" s="5">
        <v>1283</v>
      </c>
      <c r="B1295" s="5">
        <v>138</v>
      </c>
      <c r="C1295" s="10" t="s">
        <v>1286</v>
      </c>
      <c r="D1295" s="7" t="s">
        <v>2595</v>
      </c>
      <c r="E1295" s="8" t="str">
        <f>T("玩物尚志")</f>
        <v>玩物尚志</v>
      </c>
      <c r="F1295" s="7" t="s">
        <v>3626</v>
      </c>
      <c r="G1295" s="7" t="str">
        <f>T("鳳凰")</f>
        <v>鳳凰</v>
      </c>
      <c r="H1295" s="7" t="str">
        <f>T("20060701")</f>
        <v>20060701</v>
      </c>
      <c r="I1295" s="7">
        <v>29</v>
      </c>
      <c r="J1295" s="7">
        <v>174</v>
      </c>
      <c r="K1295" s="9" t="s">
        <v>261</v>
      </c>
    </row>
    <row r="1296" spans="1:11" x14ac:dyDescent="0.25">
      <c r="A1296" s="5">
        <v>1284</v>
      </c>
      <c r="B1296" s="5">
        <v>139</v>
      </c>
      <c r="C1296" s="10" t="s">
        <v>1297</v>
      </c>
      <c r="D1296" s="7" t="s">
        <v>2596</v>
      </c>
      <c r="E1296" s="8" t="str">
        <f>T("職場紅樓")</f>
        <v>職場紅樓</v>
      </c>
      <c r="F1296" s="7" t="s">
        <v>3627</v>
      </c>
      <c r="G1296" s="7" t="str">
        <f>T("文彙")</f>
        <v>文彙</v>
      </c>
      <c r="H1296" s="7" t="str">
        <f>T("20100801")</f>
        <v>20100801</v>
      </c>
      <c r="I1296" s="7">
        <v>38</v>
      </c>
      <c r="J1296" s="7">
        <v>228</v>
      </c>
      <c r="K1296" s="9" t="s">
        <v>1347</v>
      </c>
    </row>
    <row r="1297" spans="1:11" x14ac:dyDescent="0.25">
      <c r="A1297" s="5">
        <v>1285</v>
      </c>
      <c r="B1297" s="5">
        <v>140</v>
      </c>
      <c r="C1297" s="10" t="s">
        <v>1124</v>
      </c>
      <c r="D1297" s="7" t="s">
        <v>2597</v>
      </c>
      <c r="E1297" s="8" t="str">
        <f>T("圍屋裏的女人")</f>
        <v>圍屋裏的女人</v>
      </c>
      <c r="F1297" s="7" t="s">
        <v>3628</v>
      </c>
      <c r="G1297" s="7" t="str">
        <f>T("百花洲文藝")</f>
        <v>百花洲文藝</v>
      </c>
      <c r="H1297" s="7" t="str">
        <f>T("20091001")</f>
        <v>20091001</v>
      </c>
      <c r="I1297" s="7">
        <v>33</v>
      </c>
      <c r="J1297" s="7">
        <v>198</v>
      </c>
      <c r="K1297" s="9" t="s">
        <v>261</v>
      </c>
    </row>
    <row r="1298" spans="1:11" ht="28.5" x14ac:dyDescent="0.25">
      <c r="A1298" s="5">
        <v>1286</v>
      </c>
      <c r="B1298" s="5">
        <v>141</v>
      </c>
      <c r="C1298" s="10" t="s">
        <v>1127</v>
      </c>
      <c r="D1298" s="7" t="s">
        <v>2598</v>
      </c>
      <c r="E1298" s="8" t="str">
        <f>T("我國房地產業中長期發展目標研究-2009年第4卷(總第39卷)")</f>
        <v>我國房地產業中長期發展目標研究-2009年第4卷(總第39卷)</v>
      </c>
      <c r="F1298" s="7" t="s">
        <v>3629</v>
      </c>
      <c r="G1298" s="7" t="str">
        <f>T("上海社科")</f>
        <v>上海社科</v>
      </c>
      <c r="H1298" s="7" t="str">
        <f>T("20100401")</f>
        <v>20100401</v>
      </c>
      <c r="I1298" s="7">
        <v>30</v>
      </c>
      <c r="J1298" s="7">
        <v>180</v>
      </c>
      <c r="K1298" s="9" t="s">
        <v>261</v>
      </c>
    </row>
    <row r="1299" spans="1:11" x14ac:dyDescent="0.25">
      <c r="A1299" s="5">
        <v>1287</v>
      </c>
      <c r="B1299" s="5">
        <v>142</v>
      </c>
      <c r="C1299" s="10" t="s">
        <v>1128</v>
      </c>
      <c r="D1299" s="7" t="s">
        <v>2599</v>
      </c>
      <c r="E1299" s="8" t="str">
        <f>T("西方學者論智庫")</f>
        <v>西方學者論智庫</v>
      </c>
      <c r="F1299" s="7" t="s">
        <v>3630</v>
      </c>
      <c r="G1299" s="7" t="str">
        <f>T("上海社科")</f>
        <v>上海社科</v>
      </c>
      <c r="H1299" s="7" t="str">
        <f>T("20100601")</f>
        <v>20100601</v>
      </c>
      <c r="I1299" s="7">
        <v>35</v>
      </c>
      <c r="J1299" s="7">
        <v>210</v>
      </c>
      <c r="K1299" s="9" t="s">
        <v>1347</v>
      </c>
    </row>
    <row r="1300" spans="1:11" x14ac:dyDescent="0.25">
      <c r="A1300" s="5">
        <v>1288</v>
      </c>
      <c r="B1300" s="5">
        <v>143</v>
      </c>
      <c r="C1300" s="10" t="s">
        <v>1129</v>
      </c>
      <c r="D1300" s="7" t="s">
        <v>2600</v>
      </c>
      <c r="E1300" s="8" t="str">
        <f>T("國際著名智庫研究")</f>
        <v>國際著名智庫研究</v>
      </c>
      <c r="F1300" s="7" t="s">
        <v>3631</v>
      </c>
      <c r="G1300" s="7" t="str">
        <f>T("上海社科")</f>
        <v>上海社科</v>
      </c>
      <c r="H1300" s="7" t="str">
        <f>T("20100601")</f>
        <v>20100601</v>
      </c>
      <c r="I1300" s="7">
        <v>65</v>
      </c>
      <c r="J1300" s="7">
        <v>390</v>
      </c>
      <c r="K1300" s="9" t="s">
        <v>261</v>
      </c>
    </row>
    <row r="1301" spans="1:11" x14ac:dyDescent="0.25">
      <c r="A1301" s="5">
        <v>1289</v>
      </c>
      <c r="B1301" s="5">
        <v>144</v>
      </c>
      <c r="C1301" s="10" t="s">
        <v>1147</v>
      </c>
      <c r="D1301" s="7" t="s">
        <v>2601</v>
      </c>
      <c r="E1301" s="8" t="str">
        <f>T("華麗家族")</f>
        <v>華麗家族</v>
      </c>
      <c r="F1301" s="7" t="s">
        <v>3632</v>
      </c>
      <c r="G1301" s="7" t="str">
        <f>T("哈爾濱")</f>
        <v>哈爾濱</v>
      </c>
      <c r="H1301" s="7" t="str">
        <f>T("20090101")</f>
        <v>20090101</v>
      </c>
      <c r="I1301" s="7">
        <v>29.8</v>
      </c>
      <c r="J1301" s="7">
        <v>179</v>
      </c>
      <c r="K1301" s="9" t="s">
        <v>1347</v>
      </c>
    </row>
    <row r="1302" spans="1:11" x14ac:dyDescent="0.25">
      <c r="A1302" s="5">
        <v>1290</v>
      </c>
      <c r="B1302" s="5">
        <v>145</v>
      </c>
      <c r="C1302" s="10" t="s">
        <v>1159</v>
      </c>
      <c r="D1302" s="7" t="s">
        <v>2602</v>
      </c>
      <c r="E1302" s="8" t="str">
        <f>T("中國電視劇改編的歷史嬗變與文化審視")</f>
        <v>中國電視劇改編的歷史嬗變與文化審視</v>
      </c>
      <c r="F1302" s="7" t="s">
        <v>3633</v>
      </c>
      <c r="G1302" s="7" t="str">
        <f>T("嶽麓書社")</f>
        <v>嶽麓書社</v>
      </c>
      <c r="H1302" s="7" t="str">
        <f>T("20100901")</f>
        <v>20100901</v>
      </c>
      <c r="I1302" s="7">
        <v>32</v>
      </c>
      <c r="J1302" s="7">
        <v>192</v>
      </c>
      <c r="K1302" s="9" t="s">
        <v>261</v>
      </c>
    </row>
    <row r="1303" spans="1:11" ht="28.5" x14ac:dyDescent="0.25">
      <c r="A1303" s="5">
        <v>1291</v>
      </c>
      <c r="B1303" s="5">
        <v>146</v>
      </c>
      <c r="C1303" s="10" t="s">
        <v>1179</v>
      </c>
      <c r="D1303" s="7" t="s">
        <v>2603</v>
      </c>
      <c r="E1303" s="8" t="str">
        <f>T("進步 創新 交流：世博文化解讀(走進上海世博叢書)")</f>
        <v>進步 創新 交流：世博文化解讀(走進上海世博叢書)</v>
      </c>
      <c r="F1303" s="7" t="s">
        <v>3634</v>
      </c>
      <c r="G1303" s="7" t="str">
        <f>T("上海大學")</f>
        <v>上海大學</v>
      </c>
      <c r="H1303" s="7" t="str">
        <f>T("20090301")</f>
        <v>20090301</v>
      </c>
      <c r="I1303" s="7">
        <v>28</v>
      </c>
      <c r="J1303" s="7">
        <v>168</v>
      </c>
      <c r="K1303" s="9" t="s">
        <v>1347</v>
      </c>
    </row>
    <row r="1304" spans="1:11" x14ac:dyDescent="0.25">
      <c r="A1304" s="5">
        <v>1292</v>
      </c>
      <c r="B1304" s="5">
        <v>147</v>
      </c>
      <c r="C1304" s="10" t="s">
        <v>108</v>
      </c>
      <c r="D1304" s="7" t="s">
        <v>2604</v>
      </c>
      <c r="E1304" s="8" t="str">
        <f>T("中國女性文化. No.10")</f>
        <v>中國女性文化. No.10</v>
      </c>
      <c r="F1304" s="7" t="s">
        <v>3635</v>
      </c>
      <c r="G1304" s="7" t="str">
        <f>T("首都師大")</f>
        <v>首都師大</v>
      </c>
      <c r="H1304" s="7" t="str">
        <f>T("20090101")</f>
        <v>20090101</v>
      </c>
      <c r="I1304" s="7">
        <v>26</v>
      </c>
      <c r="J1304" s="7">
        <v>156</v>
      </c>
      <c r="K1304" s="9" t="s">
        <v>1347</v>
      </c>
    </row>
    <row r="1305" spans="1:11" x14ac:dyDescent="0.25">
      <c r="A1305" s="5">
        <v>1293</v>
      </c>
      <c r="B1305" s="5">
        <v>148</v>
      </c>
      <c r="C1305" s="10" t="s">
        <v>1185</v>
      </c>
      <c r="D1305" s="7" t="s">
        <v>2605</v>
      </c>
      <c r="E1305" s="8" t="str">
        <f>T("華麗轉身　")</f>
        <v>華麗轉身　</v>
      </c>
      <c r="F1305" s="7" t="s">
        <v>3636</v>
      </c>
      <c r="G1305" s="7" t="str">
        <f>T("首都師大")</f>
        <v>首都師大</v>
      </c>
      <c r="H1305" s="7" t="str">
        <f>T("20091201")</f>
        <v>20091201</v>
      </c>
      <c r="I1305" s="7">
        <v>27</v>
      </c>
      <c r="J1305" s="7">
        <v>162</v>
      </c>
      <c r="K1305" s="9" t="s">
        <v>1347</v>
      </c>
    </row>
    <row r="1306" spans="1:11" x14ac:dyDescent="0.25">
      <c r="A1306" s="5">
        <v>1294</v>
      </c>
      <c r="B1306" s="5">
        <v>149</v>
      </c>
      <c r="C1306" s="10" t="s">
        <v>1187</v>
      </c>
      <c r="D1306" s="7" t="s">
        <v>2606</v>
      </c>
      <c r="E1306" s="8" t="str">
        <f>T("我們怎樣閱讀中國")</f>
        <v>我們怎樣閱讀中國</v>
      </c>
      <c r="F1306" s="7" t="s">
        <v>3637</v>
      </c>
      <c r="G1306" s="7" t="str">
        <f>T("北京航大")</f>
        <v>北京航大</v>
      </c>
      <c r="H1306" s="7" t="str">
        <f>T("20090901")</f>
        <v>20090901</v>
      </c>
      <c r="I1306" s="7">
        <v>32</v>
      </c>
      <c r="J1306" s="7">
        <v>192</v>
      </c>
      <c r="K1306" s="9" t="s">
        <v>261</v>
      </c>
    </row>
    <row r="1307" spans="1:11" ht="28.5" x14ac:dyDescent="0.25">
      <c r="A1307" s="5">
        <v>1295</v>
      </c>
      <c r="B1307" s="5">
        <v>150</v>
      </c>
      <c r="C1307" s="10" t="s">
        <v>1188</v>
      </c>
      <c r="D1307" s="7" t="s">
        <v>2607</v>
      </c>
      <c r="E1307" s="8" t="str">
        <f>T("影視學術前沿.在歷史與藝術之間:中國歷史題材電視劇文化詩學研究")</f>
        <v>影視學術前沿.在歷史與藝術之間:中國歷史題材電視劇文化詩學研究</v>
      </c>
      <c r="F1307" s="7" t="s">
        <v>3638</v>
      </c>
      <c r="G1307" s="7" t="str">
        <f>T("傳媒大學")</f>
        <v>傳媒大學</v>
      </c>
      <c r="H1307" s="7" t="str">
        <f>T("20080501")</f>
        <v>20080501</v>
      </c>
      <c r="I1307" s="7">
        <v>29.8</v>
      </c>
      <c r="J1307" s="7">
        <v>179</v>
      </c>
      <c r="K1307" s="9" t="s">
        <v>1347</v>
      </c>
    </row>
    <row r="1308" spans="1:11" x14ac:dyDescent="0.25">
      <c r="A1308" s="25" t="s">
        <v>3639</v>
      </c>
      <c r="B1308" s="25"/>
      <c r="C1308" s="25"/>
      <c r="D1308" s="25"/>
      <c r="E1308" s="25"/>
      <c r="F1308" s="25"/>
      <c r="G1308" s="25"/>
      <c r="H1308" s="25"/>
      <c r="I1308" s="25"/>
      <c r="J1308" s="25"/>
      <c r="K1308" s="25"/>
    </row>
    <row r="1309" spans="1:11" x14ac:dyDescent="0.25">
      <c r="A1309" s="21">
        <v>1297</v>
      </c>
      <c r="B1309" s="21">
        <v>1</v>
      </c>
      <c r="C1309" s="26" t="s">
        <v>3640</v>
      </c>
      <c r="D1309" s="20" t="s">
        <v>3641</v>
      </c>
      <c r="E1309" s="27" t="str">
        <f>T("騎著駱駝逛大唐")</f>
        <v>騎著駱駝逛大唐</v>
      </c>
      <c r="F1309" s="20" t="s">
        <v>3642</v>
      </c>
      <c r="G1309" s="20" t="str">
        <f>T("化學工業")</f>
        <v>化學工業</v>
      </c>
      <c r="H1309" s="20" t="str">
        <f>T("20100201")</f>
        <v>20100201</v>
      </c>
      <c r="I1309" s="20">
        <v>19.899999999999999</v>
      </c>
      <c r="J1309" s="20">
        <v>119</v>
      </c>
      <c r="K1309" s="28" t="s">
        <v>3643</v>
      </c>
    </row>
    <row r="1310" spans="1:11" x14ac:dyDescent="0.25">
      <c r="A1310" s="21">
        <v>1298</v>
      </c>
      <c r="B1310" s="21">
        <v>2</v>
      </c>
      <c r="C1310" s="26" t="s">
        <v>3645</v>
      </c>
      <c r="D1310" s="20" t="s">
        <v>3646</v>
      </c>
      <c r="E1310" s="27" t="str">
        <f>T("盔甲兵們的那點事")</f>
        <v>盔甲兵們的那點事</v>
      </c>
      <c r="F1310" s="20" t="s">
        <v>3647</v>
      </c>
      <c r="G1310" s="20" t="str">
        <f>T("陝西人民")</f>
        <v>陝西人民</v>
      </c>
      <c r="H1310" s="20" t="str">
        <f>T("20100101")</f>
        <v>20100101</v>
      </c>
      <c r="I1310" s="20">
        <v>18</v>
      </c>
      <c r="J1310" s="20">
        <v>108</v>
      </c>
      <c r="K1310" s="28" t="s">
        <v>3644</v>
      </c>
    </row>
    <row r="1311" spans="1:11" x14ac:dyDescent="0.25">
      <c r="A1311" s="21">
        <v>1299</v>
      </c>
      <c r="B1311" s="21">
        <v>3</v>
      </c>
      <c r="C1311" s="26" t="s">
        <v>3648</v>
      </c>
      <c r="D1311" s="20" t="s">
        <v>3649</v>
      </c>
      <c r="E1311" s="27" t="str">
        <f>T("民間新疆·故事系列：尕妹和阿哥")</f>
        <v>民間新疆·故事系列：尕妹和阿哥</v>
      </c>
      <c r="F1311" s="20" t="s">
        <v>1962</v>
      </c>
      <c r="G1311" s="20" t="str">
        <f t="shared" ref="G1311:G1320" si="60">T("新疆人民")</f>
        <v>新疆人民</v>
      </c>
      <c r="H1311" s="20" t="str">
        <f t="shared" ref="H1311:H1320" si="61">T("20110401")</f>
        <v>20110401</v>
      </c>
      <c r="I1311" s="20">
        <v>20</v>
      </c>
      <c r="J1311" s="20">
        <v>120</v>
      </c>
      <c r="K1311" s="28" t="s">
        <v>3644</v>
      </c>
    </row>
    <row r="1312" spans="1:11" x14ac:dyDescent="0.25">
      <c r="A1312" s="21">
        <v>1300</v>
      </c>
      <c r="B1312" s="21">
        <v>4</v>
      </c>
      <c r="C1312" s="26" t="s">
        <v>3650</v>
      </c>
      <c r="D1312" s="20" t="s">
        <v>3651</v>
      </c>
      <c r="E1312" s="27" t="str">
        <f>T("民間新疆·故事系列：福仁哈達")</f>
        <v>民間新疆·故事系列：福仁哈達</v>
      </c>
      <c r="F1312" s="20" t="s">
        <v>1962</v>
      </c>
      <c r="G1312" s="20" t="str">
        <f t="shared" si="60"/>
        <v>新疆人民</v>
      </c>
      <c r="H1312" s="20" t="str">
        <f t="shared" si="61"/>
        <v>20110401</v>
      </c>
      <c r="I1312" s="20">
        <v>20</v>
      </c>
      <c r="J1312" s="20">
        <v>120</v>
      </c>
      <c r="K1312" s="28" t="s">
        <v>3644</v>
      </c>
    </row>
    <row r="1313" spans="1:11" x14ac:dyDescent="0.25">
      <c r="A1313" s="21">
        <v>1301</v>
      </c>
      <c r="B1313" s="21">
        <v>5</v>
      </c>
      <c r="C1313" s="26" t="s">
        <v>3652</v>
      </c>
      <c r="D1313" s="20" t="s">
        <v>3653</v>
      </c>
      <c r="E1313" s="27" t="str">
        <f>T("民間新疆·故事系列：靈芝姑娘")</f>
        <v>民間新疆·故事系列：靈芝姑娘</v>
      </c>
      <c r="F1313" s="20" t="s">
        <v>1962</v>
      </c>
      <c r="G1313" s="20" t="str">
        <f t="shared" si="60"/>
        <v>新疆人民</v>
      </c>
      <c r="H1313" s="20" t="str">
        <f t="shared" si="61"/>
        <v>20110401</v>
      </c>
      <c r="I1313" s="20">
        <v>20</v>
      </c>
      <c r="J1313" s="20">
        <v>120</v>
      </c>
      <c r="K1313" s="28" t="s">
        <v>3644</v>
      </c>
    </row>
    <row r="1314" spans="1:11" x14ac:dyDescent="0.25">
      <c r="A1314" s="21">
        <v>1302</v>
      </c>
      <c r="B1314" s="21">
        <v>6</v>
      </c>
      <c r="C1314" s="26" t="s">
        <v>3654</v>
      </c>
      <c r="D1314" s="20" t="s">
        <v>3655</v>
      </c>
      <c r="E1314" s="27" t="str">
        <f>T("民間新疆·故事系列：神駒勇士")</f>
        <v>民間新疆·故事系列：神駒勇士</v>
      </c>
      <c r="F1314" s="20" t="s">
        <v>1962</v>
      </c>
      <c r="G1314" s="20" t="str">
        <f t="shared" si="60"/>
        <v>新疆人民</v>
      </c>
      <c r="H1314" s="20" t="str">
        <f t="shared" si="61"/>
        <v>20110401</v>
      </c>
      <c r="I1314" s="20">
        <v>20</v>
      </c>
      <c r="J1314" s="20">
        <v>120</v>
      </c>
      <c r="K1314" s="28" t="s">
        <v>3644</v>
      </c>
    </row>
    <row r="1315" spans="1:11" x14ac:dyDescent="0.25">
      <c r="A1315" s="21">
        <v>1303</v>
      </c>
      <c r="B1315" s="21">
        <v>7</v>
      </c>
      <c r="C1315" s="26" t="s">
        <v>3656</v>
      </c>
      <c r="D1315" s="20" t="s">
        <v>3657</v>
      </c>
      <c r="E1315" s="27" t="str">
        <f>T("民間新疆·故事系列：鷹與孔雀")</f>
        <v>民間新疆·故事系列：鷹與孔雀</v>
      </c>
      <c r="F1315" s="20" t="s">
        <v>1962</v>
      </c>
      <c r="G1315" s="20" t="str">
        <f t="shared" si="60"/>
        <v>新疆人民</v>
      </c>
      <c r="H1315" s="20" t="str">
        <f t="shared" si="61"/>
        <v>20110401</v>
      </c>
      <c r="I1315" s="20">
        <v>20</v>
      </c>
      <c r="J1315" s="20">
        <v>120</v>
      </c>
      <c r="K1315" s="28" t="s">
        <v>3644</v>
      </c>
    </row>
    <row r="1316" spans="1:11" x14ac:dyDescent="0.25">
      <c r="A1316" s="21">
        <v>1304</v>
      </c>
      <c r="B1316" s="21">
        <v>8</v>
      </c>
      <c r="C1316" s="26" t="s">
        <v>3658</v>
      </c>
      <c r="D1316" s="20" t="s">
        <v>3659</v>
      </c>
      <c r="E1316" s="27" t="str">
        <f>T("民間新疆·故事系列：馬背上的冬不拉")</f>
        <v>民間新疆·故事系列：馬背上的冬不拉</v>
      </c>
      <c r="F1316" s="20" t="s">
        <v>1962</v>
      </c>
      <c r="G1316" s="20" t="str">
        <f t="shared" si="60"/>
        <v>新疆人民</v>
      </c>
      <c r="H1316" s="20" t="str">
        <f t="shared" si="61"/>
        <v>20110401</v>
      </c>
      <c r="I1316" s="20">
        <v>20</v>
      </c>
      <c r="J1316" s="20">
        <v>120</v>
      </c>
      <c r="K1316" s="28" t="s">
        <v>3644</v>
      </c>
    </row>
    <row r="1317" spans="1:11" x14ac:dyDescent="0.25">
      <c r="A1317" s="21">
        <v>1305</v>
      </c>
      <c r="B1317" s="21">
        <v>9</v>
      </c>
      <c r="C1317" s="26" t="s">
        <v>3660</v>
      </c>
      <c r="D1317" s="20" t="s">
        <v>3661</v>
      </c>
      <c r="E1317" s="27" t="str">
        <f>T("民間新疆·故事系列：四十條辮子")</f>
        <v>民間新疆·故事系列：四十條辮子</v>
      </c>
      <c r="F1317" s="20" t="s">
        <v>1962</v>
      </c>
      <c r="G1317" s="20" t="str">
        <f t="shared" si="60"/>
        <v>新疆人民</v>
      </c>
      <c r="H1317" s="20" t="str">
        <f t="shared" si="61"/>
        <v>20110401</v>
      </c>
      <c r="I1317" s="20">
        <v>20</v>
      </c>
      <c r="J1317" s="20">
        <v>120</v>
      </c>
      <c r="K1317" s="28" t="s">
        <v>3644</v>
      </c>
    </row>
    <row r="1318" spans="1:11" x14ac:dyDescent="0.25">
      <c r="A1318" s="21">
        <v>1306</v>
      </c>
      <c r="B1318" s="21">
        <v>10</v>
      </c>
      <c r="C1318" s="26" t="s">
        <v>3662</v>
      </c>
      <c r="D1318" s="20" t="s">
        <v>3663</v>
      </c>
      <c r="E1318" s="27" t="str">
        <f>T("民間新疆·故事系列：紅蓋頭")</f>
        <v>民間新疆·故事系列：紅蓋頭</v>
      </c>
      <c r="F1318" s="20" t="s">
        <v>1962</v>
      </c>
      <c r="G1318" s="20" t="str">
        <f t="shared" si="60"/>
        <v>新疆人民</v>
      </c>
      <c r="H1318" s="20" t="str">
        <f t="shared" si="61"/>
        <v>20110401</v>
      </c>
      <c r="I1318" s="20">
        <v>20</v>
      </c>
      <c r="J1318" s="20">
        <v>120</v>
      </c>
      <c r="K1318" s="28" t="s">
        <v>3644</v>
      </c>
    </row>
    <row r="1319" spans="1:11" x14ac:dyDescent="0.25">
      <c r="A1319" s="21">
        <v>1307</v>
      </c>
      <c r="B1319" s="21">
        <v>11</v>
      </c>
      <c r="C1319" s="26" t="s">
        <v>3664</v>
      </c>
      <c r="D1319" s="20" t="s">
        <v>3665</v>
      </c>
      <c r="E1319" s="27" t="str">
        <f>T("民間新疆·故事系列：拇指孩兒")</f>
        <v>民間新疆·故事系列：拇指孩兒</v>
      </c>
      <c r="F1319" s="20" t="s">
        <v>1962</v>
      </c>
      <c r="G1319" s="20" t="str">
        <f t="shared" si="60"/>
        <v>新疆人民</v>
      </c>
      <c r="H1319" s="20" t="str">
        <f t="shared" si="61"/>
        <v>20110401</v>
      </c>
      <c r="I1319" s="20">
        <v>20</v>
      </c>
      <c r="J1319" s="20">
        <v>120</v>
      </c>
      <c r="K1319" s="28" t="s">
        <v>3644</v>
      </c>
    </row>
    <row r="1320" spans="1:11" x14ac:dyDescent="0.25">
      <c r="A1320" s="21">
        <v>1308</v>
      </c>
      <c r="B1320" s="21">
        <v>12</v>
      </c>
      <c r="C1320" s="26" t="s">
        <v>3666</v>
      </c>
      <c r="D1320" s="20" t="s">
        <v>3667</v>
      </c>
      <c r="E1320" s="27" t="str">
        <f>T("民間新疆·故事系列：金翅膀的夜鶯")</f>
        <v>民間新疆·故事系列：金翅膀的夜鶯</v>
      </c>
      <c r="F1320" s="20" t="s">
        <v>1962</v>
      </c>
      <c r="G1320" s="20" t="str">
        <f t="shared" si="60"/>
        <v>新疆人民</v>
      </c>
      <c r="H1320" s="20" t="str">
        <f t="shared" si="61"/>
        <v>20110401</v>
      </c>
      <c r="I1320" s="20">
        <v>20</v>
      </c>
      <c r="J1320" s="20">
        <v>120</v>
      </c>
      <c r="K1320" s="28" t="s">
        <v>3644</v>
      </c>
    </row>
    <row r="1321" spans="1:11" x14ac:dyDescent="0.25">
      <c r="A1321" s="21">
        <v>1309</v>
      </c>
      <c r="B1321" s="21">
        <v>13</v>
      </c>
      <c r="C1321" s="26" t="s">
        <v>3668</v>
      </c>
      <c r="D1321" s="20" t="s">
        <v>3669</v>
      </c>
      <c r="E1321" s="27" t="str">
        <f>T("畫出來的論語")</f>
        <v>畫出來的論語</v>
      </c>
      <c r="F1321" s="20" t="s">
        <v>3670</v>
      </c>
      <c r="G1321" s="20" t="str">
        <f>T("中國物資")</f>
        <v>中國物資</v>
      </c>
      <c r="H1321" s="20" t="str">
        <f>T("20100101")</f>
        <v>20100101</v>
      </c>
      <c r="I1321" s="20">
        <v>25</v>
      </c>
      <c r="J1321" s="20">
        <v>150</v>
      </c>
      <c r="K1321" s="28" t="s">
        <v>3644</v>
      </c>
    </row>
    <row r="1322" spans="1:11" x14ac:dyDescent="0.25">
      <c r="A1322" s="21">
        <v>1310</v>
      </c>
      <c r="B1322" s="21">
        <v>14</v>
      </c>
      <c r="C1322" s="26" t="s">
        <v>3671</v>
      </c>
      <c r="D1322" s="20" t="s">
        <v>3672</v>
      </c>
      <c r="E1322" s="27" t="str">
        <f>T("小小西遊：盤絲洞鬥七妖 幼兒版")</f>
        <v>小小西遊：盤絲洞鬥七妖 幼兒版</v>
      </c>
      <c r="F1322" s="20" t="s">
        <v>2616</v>
      </c>
      <c r="G1322" s="20" t="str">
        <f>T("北京少兒")</f>
        <v>北京少兒</v>
      </c>
      <c r="H1322" s="20" t="str">
        <f>T("20060501")</f>
        <v>20060501</v>
      </c>
      <c r="I1322" s="20">
        <v>5</v>
      </c>
      <c r="J1322" s="20">
        <v>30</v>
      </c>
      <c r="K1322" s="28" t="s">
        <v>3644</v>
      </c>
    </row>
    <row r="1323" spans="1:11" x14ac:dyDescent="0.25">
      <c r="A1323" s="21">
        <v>1311</v>
      </c>
      <c r="B1323" s="21">
        <v>15</v>
      </c>
      <c r="C1323" s="26" t="s">
        <v>3673</v>
      </c>
      <c r="D1323" s="20" t="s">
        <v>3674</v>
      </c>
      <c r="E1323" s="27" t="str">
        <f>T("溫馨綠色卷-經典童話")</f>
        <v>溫馨綠色卷-經典童話</v>
      </c>
      <c r="F1323" s="20" t="s">
        <v>1312</v>
      </c>
      <c r="G1323" s="20" t="str">
        <f>T("北京科技")</f>
        <v>北京科技</v>
      </c>
      <c r="H1323" s="20" t="str">
        <f>T("20100101")</f>
        <v>20100101</v>
      </c>
      <c r="I1323" s="20">
        <v>19.8</v>
      </c>
      <c r="J1323" s="20">
        <v>119</v>
      </c>
      <c r="K1323" s="28" t="s">
        <v>3644</v>
      </c>
    </row>
    <row r="1324" spans="1:11" x14ac:dyDescent="0.25">
      <c r="A1324" s="21">
        <v>1312</v>
      </c>
      <c r="B1324" s="21">
        <v>16</v>
      </c>
      <c r="C1324" s="26" t="s">
        <v>3675</v>
      </c>
      <c r="D1324" s="20" t="s">
        <v>3676</v>
      </c>
      <c r="E1324" s="27" t="str">
        <f>T("兒歌集-大班")</f>
        <v>兒歌集-大班</v>
      </c>
      <c r="F1324" s="20" t="s">
        <v>1962</v>
      </c>
      <c r="G1324" s="20" t="str">
        <f>T("新疆教育")</f>
        <v>新疆教育</v>
      </c>
      <c r="H1324" s="20" t="str">
        <f t="shared" ref="H1324:H1387" si="62">T("20080101")</f>
        <v>20080101</v>
      </c>
      <c r="I1324" s="20">
        <v>17</v>
      </c>
      <c r="J1324" s="20">
        <v>102</v>
      </c>
      <c r="K1324" s="28" t="s">
        <v>3644</v>
      </c>
    </row>
    <row r="1325" spans="1:11" x14ac:dyDescent="0.25">
      <c r="A1325" s="21">
        <v>1313</v>
      </c>
      <c r="B1325" s="21">
        <v>17</v>
      </c>
      <c r="C1325" s="26" t="s">
        <v>3677</v>
      </c>
      <c r="D1325" s="20" t="s">
        <v>3678</v>
      </c>
      <c r="E1325" s="27" t="str">
        <f>T("兒歌集-中班")</f>
        <v>兒歌集-中班</v>
      </c>
      <c r="F1325" s="20" t="s">
        <v>1962</v>
      </c>
      <c r="G1325" s="20" t="str">
        <f>T("新疆教育")</f>
        <v>新疆教育</v>
      </c>
      <c r="H1325" s="20" t="str">
        <f t="shared" si="62"/>
        <v>20080101</v>
      </c>
      <c r="I1325" s="20">
        <v>17</v>
      </c>
      <c r="J1325" s="20">
        <v>102</v>
      </c>
      <c r="K1325" s="28" t="s">
        <v>3644</v>
      </c>
    </row>
    <row r="1326" spans="1:11" x14ac:dyDescent="0.25">
      <c r="A1326" s="21">
        <v>1314</v>
      </c>
      <c r="B1326" s="21">
        <v>18</v>
      </c>
      <c r="C1326" s="26" t="s">
        <v>3679</v>
      </c>
      <c r="D1326" s="20" t="s">
        <v>3680</v>
      </c>
      <c r="E1326" s="27" t="str">
        <f>T("會話集")</f>
        <v>會話集</v>
      </c>
      <c r="F1326" s="20" t="s">
        <v>1962</v>
      </c>
      <c r="G1326" s="20" t="str">
        <f>T("新疆教育")</f>
        <v>新疆教育</v>
      </c>
      <c r="H1326" s="20" t="str">
        <f t="shared" si="62"/>
        <v>20080101</v>
      </c>
      <c r="I1326" s="20">
        <v>27.2</v>
      </c>
      <c r="J1326" s="20">
        <v>163</v>
      </c>
      <c r="K1326" s="28" t="s">
        <v>3644</v>
      </c>
    </row>
    <row r="1327" spans="1:11" x14ac:dyDescent="0.25">
      <c r="A1327" s="21">
        <v>1315</v>
      </c>
      <c r="B1327" s="21">
        <v>19</v>
      </c>
      <c r="C1327" s="26" t="s">
        <v>3681</v>
      </c>
      <c r="D1327" s="20" t="s">
        <v>3682</v>
      </c>
      <c r="E1327" s="27" t="str">
        <f>T("故事集-大班")</f>
        <v>故事集-大班</v>
      </c>
      <c r="F1327" s="20" t="s">
        <v>1962</v>
      </c>
      <c r="G1327" s="20" t="str">
        <f>T("新疆教育")</f>
        <v>新疆教育</v>
      </c>
      <c r="H1327" s="20" t="str">
        <f t="shared" si="62"/>
        <v>20080101</v>
      </c>
      <c r="I1327" s="20">
        <v>17</v>
      </c>
      <c r="J1327" s="20">
        <v>102</v>
      </c>
      <c r="K1327" s="28" t="s">
        <v>3644</v>
      </c>
    </row>
    <row r="1328" spans="1:11" x14ac:dyDescent="0.25">
      <c r="A1328" s="21">
        <v>1316</v>
      </c>
      <c r="B1328" s="21">
        <v>20</v>
      </c>
      <c r="C1328" s="26" t="s">
        <v>3683</v>
      </c>
      <c r="D1328" s="20" t="s">
        <v>3684</v>
      </c>
      <c r="E1328" s="27" t="str">
        <f>T("故事集")</f>
        <v>故事集</v>
      </c>
      <c r="F1328" s="20" t="s">
        <v>1962</v>
      </c>
      <c r="G1328" s="20" t="str">
        <f>T("新疆教育")</f>
        <v>新疆教育</v>
      </c>
      <c r="H1328" s="20" t="str">
        <f t="shared" si="62"/>
        <v>20080101</v>
      </c>
      <c r="I1328" s="20">
        <v>15.3</v>
      </c>
      <c r="J1328" s="20">
        <v>92</v>
      </c>
      <c r="K1328" s="28" t="s">
        <v>3644</v>
      </c>
    </row>
    <row r="1329" spans="1:11" x14ac:dyDescent="0.25">
      <c r="A1329" s="21">
        <v>1317</v>
      </c>
      <c r="B1329" s="21">
        <v>21</v>
      </c>
      <c r="C1329" s="26" t="s">
        <v>3685</v>
      </c>
      <c r="D1329" s="20" t="s">
        <v>3686</v>
      </c>
      <c r="E1329" s="27" t="str">
        <f>T("貝貝熊系列叢書(2)小霸王")</f>
        <v>貝貝熊系列叢書(2)小霸王</v>
      </c>
      <c r="F1329" s="20" t="s">
        <v>1962</v>
      </c>
      <c r="G1329" s="20" t="str">
        <f t="shared" ref="G1329:G1392" si="63">T("新疆青少年")</f>
        <v>新疆青少年</v>
      </c>
      <c r="H1329" s="20" t="str">
        <f t="shared" si="62"/>
        <v>20080101</v>
      </c>
      <c r="I1329" s="20">
        <v>6.8</v>
      </c>
      <c r="J1329" s="20">
        <v>41</v>
      </c>
      <c r="K1329" s="28" t="s">
        <v>3644</v>
      </c>
    </row>
    <row r="1330" spans="1:11" x14ac:dyDescent="0.25">
      <c r="A1330" s="21">
        <v>1318</v>
      </c>
      <c r="B1330" s="21">
        <v>22</v>
      </c>
      <c r="C1330" s="26" t="s">
        <v>3687</v>
      </c>
      <c r="D1330" s="20" t="s">
        <v>3686</v>
      </c>
      <c r="E1330" s="27" t="str">
        <f>T("貝貝熊系列叢書(3)學校的煩惱")</f>
        <v>貝貝熊系列叢書(3)學校的煩惱</v>
      </c>
      <c r="F1330" s="20" t="s">
        <v>1962</v>
      </c>
      <c r="G1330" s="20" t="str">
        <f t="shared" si="63"/>
        <v>新疆青少年</v>
      </c>
      <c r="H1330" s="20" t="str">
        <f t="shared" si="62"/>
        <v>20080101</v>
      </c>
      <c r="I1330" s="20">
        <v>6.8</v>
      </c>
      <c r="J1330" s="20">
        <v>41</v>
      </c>
      <c r="K1330" s="28" t="s">
        <v>3644</v>
      </c>
    </row>
    <row r="1331" spans="1:11" x14ac:dyDescent="0.25">
      <c r="A1331" s="21">
        <v>1319</v>
      </c>
      <c r="B1331" s="21">
        <v>23</v>
      </c>
      <c r="C1331" s="26" t="s">
        <v>3688</v>
      </c>
      <c r="D1331" s="20" t="s">
        <v>3686</v>
      </c>
      <c r="E1331" s="27" t="str">
        <f>T("貝貝熊系列叢書(4)科學飲食")</f>
        <v>貝貝熊系列叢書(4)科學飲食</v>
      </c>
      <c r="F1331" s="20" t="s">
        <v>1962</v>
      </c>
      <c r="G1331" s="20" t="str">
        <f t="shared" si="63"/>
        <v>新疆青少年</v>
      </c>
      <c r="H1331" s="20" t="str">
        <f t="shared" si="62"/>
        <v>20080101</v>
      </c>
      <c r="I1331" s="20">
        <v>6.8</v>
      </c>
      <c r="J1331" s="20">
        <v>41</v>
      </c>
      <c r="K1331" s="28" t="s">
        <v>3644</v>
      </c>
    </row>
    <row r="1332" spans="1:11" x14ac:dyDescent="0.25">
      <c r="A1332" s="21">
        <v>1320</v>
      </c>
      <c r="B1332" s="21">
        <v>24</v>
      </c>
      <c r="C1332" s="26" t="s">
        <v>3689</v>
      </c>
      <c r="D1332" s="20" t="s">
        <v>3686</v>
      </c>
      <c r="E1332" s="27" t="str">
        <f>T("貝貝熊系列叢書(6)錢的學問")</f>
        <v>貝貝熊系列叢書(6)錢的學問</v>
      </c>
      <c r="F1332" s="20" t="s">
        <v>1962</v>
      </c>
      <c r="G1332" s="20" t="str">
        <f t="shared" si="63"/>
        <v>新疆青少年</v>
      </c>
      <c r="H1332" s="20" t="str">
        <f t="shared" si="62"/>
        <v>20080101</v>
      </c>
      <c r="I1332" s="20">
        <v>6.8</v>
      </c>
      <c r="J1332" s="20">
        <v>41</v>
      </c>
      <c r="K1332" s="28" t="s">
        <v>3644</v>
      </c>
    </row>
    <row r="1333" spans="1:11" x14ac:dyDescent="0.25">
      <c r="A1333" s="21">
        <v>1321</v>
      </c>
      <c r="B1333" s="21">
        <v>25</v>
      </c>
      <c r="C1333" s="26" t="s">
        <v>3690</v>
      </c>
      <c r="D1333" s="20" t="s">
        <v>3686</v>
      </c>
      <c r="E1333" s="27" t="str">
        <f>T("貝貝熊系列叢書(7)朋友之交")</f>
        <v>貝貝熊系列叢書(7)朋友之交</v>
      </c>
      <c r="F1333" s="20" t="s">
        <v>1962</v>
      </c>
      <c r="G1333" s="20" t="str">
        <f t="shared" si="63"/>
        <v>新疆青少年</v>
      </c>
      <c r="H1333" s="20" t="str">
        <f t="shared" si="62"/>
        <v>20080101</v>
      </c>
      <c r="I1333" s="20">
        <v>6.8</v>
      </c>
      <c r="J1333" s="20">
        <v>41</v>
      </c>
      <c r="K1333" s="28" t="s">
        <v>3644</v>
      </c>
    </row>
    <row r="1334" spans="1:11" x14ac:dyDescent="0.25">
      <c r="A1334" s="21">
        <v>1322</v>
      </c>
      <c r="B1334" s="21">
        <v>26</v>
      </c>
      <c r="C1334" s="26" t="s">
        <v>3691</v>
      </c>
      <c r="D1334" s="20" t="s">
        <v>3686</v>
      </c>
      <c r="E1334" s="27" t="str">
        <f>T("貝貝熊系列叢書(9)電視迷")</f>
        <v>貝貝熊系列叢書(9)電視迷</v>
      </c>
      <c r="F1334" s="20" t="s">
        <v>1962</v>
      </c>
      <c r="G1334" s="20" t="str">
        <f t="shared" si="63"/>
        <v>新疆青少年</v>
      </c>
      <c r="H1334" s="20" t="str">
        <f t="shared" si="62"/>
        <v>20080101</v>
      </c>
      <c r="I1334" s="20">
        <v>6.8</v>
      </c>
      <c r="J1334" s="20">
        <v>41</v>
      </c>
      <c r="K1334" s="28" t="s">
        <v>3644</v>
      </c>
    </row>
    <row r="1335" spans="1:11" x14ac:dyDescent="0.25">
      <c r="A1335" s="21">
        <v>1323</v>
      </c>
      <c r="B1335" s="21">
        <v>27</v>
      </c>
      <c r="C1335" s="26" t="s">
        <v>3692</v>
      </c>
      <c r="D1335" s="20" t="s">
        <v>3693</v>
      </c>
      <c r="E1335" s="27" t="str">
        <f>T("貝貝熊系列叢書(11)受人冷落")</f>
        <v>貝貝熊系列叢書(11)受人冷落</v>
      </c>
      <c r="F1335" s="20" t="s">
        <v>1962</v>
      </c>
      <c r="G1335" s="20" t="str">
        <f t="shared" si="63"/>
        <v>新疆青少年</v>
      </c>
      <c r="H1335" s="20" t="str">
        <f t="shared" si="62"/>
        <v>20080101</v>
      </c>
      <c r="I1335" s="20">
        <v>6.8</v>
      </c>
      <c r="J1335" s="20">
        <v>41</v>
      </c>
      <c r="K1335" s="28" t="s">
        <v>3644</v>
      </c>
    </row>
    <row r="1336" spans="1:11" x14ac:dyDescent="0.25">
      <c r="A1336" s="21">
        <v>1324</v>
      </c>
      <c r="B1336" s="21">
        <v>28</v>
      </c>
      <c r="C1336" s="26" t="s">
        <v>3694</v>
      </c>
      <c r="D1336" s="20" t="s">
        <v>3693</v>
      </c>
      <c r="E1336" s="27" t="str">
        <f>T("貝貝熊系列叢書(12)凌亂的房間")</f>
        <v>貝貝熊系列叢書(12)凌亂的房間</v>
      </c>
      <c r="F1336" s="20" t="s">
        <v>1962</v>
      </c>
      <c r="G1336" s="20" t="str">
        <f t="shared" si="63"/>
        <v>新疆青少年</v>
      </c>
      <c r="H1336" s="20" t="str">
        <f t="shared" si="62"/>
        <v>20080101</v>
      </c>
      <c r="I1336" s="20">
        <v>6.8</v>
      </c>
      <c r="J1336" s="20">
        <v>41</v>
      </c>
      <c r="K1336" s="28" t="s">
        <v>3644</v>
      </c>
    </row>
    <row r="1337" spans="1:11" x14ac:dyDescent="0.25">
      <c r="A1337" s="21">
        <v>1325</v>
      </c>
      <c r="B1337" s="21">
        <v>29</v>
      </c>
      <c r="C1337" s="26" t="s">
        <v>3695</v>
      </c>
      <c r="D1337" s="20" t="s">
        <v>3693</v>
      </c>
      <c r="E1337" s="27" t="str">
        <f>T("貝貝熊系列叢書(13)傻大膽兒")</f>
        <v>貝貝熊系列叢書(13)傻大膽兒</v>
      </c>
      <c r="F1337" s="20" t="s">
        <v>1962</v>
      </c>
      <c r="G1337" s="20" t="str">
        <f t="shared" si="63"/>
        <v>新疆青少年</v>
      </c>
      <c r="H1337" s="20" t="str">
        <f t="shared" si="62"/>
        <v>20080101</v>
      </c>
      <c r="I1337" s="20">
        <v>6.8</v>
      </c>
      <c r="J1337" s="20">
        <v>41</v>
      </c>
      <c r="K1337" s="28" t="s">
        <v>3644</v>
      </c>
    </row>
    <row r="1338" spans="1:11" x14ac:dyDescent="0.25">
      <c r="A1338" s="21">
        <v>1326</v>
      </c>
      <c r="B1338" s="21">
        <v>30</v>
      </c>
      <c r="C1338" s="26" t="s">
        <v>3696</v>
      </c>
      <c r="D1338" s="20" t="s">
        <v>3693</v>
      </c>
      <c r="E1338" s="27" t="str">
        <f>T("貝貝熊系列叢書(15)噩夢")</f>
        <v>貝貝熊系列叢書(15)噩夢</v>
      </c>
      <c r="F1338" s="20" t="s">
        <v>1962</v>
      </c>
      <c r="G1338" s="20" t="str">
        <f t="shared" si="63"/>
        <v>新疆青少年</v>
      </c>
      <c r="H1338" s="20" t="str">
        <f t="shared" si="62"/>
        <v>20080101</v>
      </c>
      <c r="I1338" s="20">
        <v>6.8</v>
      </c>
      <c r="J1338" s="20">
        <v>41</v>
      </c>
      <c r="K1338" s="28" t="s">
        <v>3644</v>
      </c>
    </row>
    <row r="1339" spans="1:11" x14ac:dyDescent="0.25">
      <c r="A1339" s="21">
        <v>1327</v>
      </c>
      <c r="B1339" s="21">
        <v>31</v>
      </c>
      <c r="C1339" s="26" t="s">
        <v>3697</v>
      </c>
      <c r="D1339" s="20" t="s">
        <v>3693</v>
      </c>
      <c r="E1339" s="27" t="str">
        <f>T("貝貝熊系列叢書(17)對待陌生人")</f>
        <v>貝貝熊系列叢書(17)對待陌生人</v>
      </c>
      <c r="F1339" s="20" t="s">
        <v>1962</v>
      </c>
      <c r="G1339" s="20" t="str">
        <f t="shared" si="63"/>
        <v>新疆青少年</v>
      </c>
      <c r="H1339" s="20" t="str">
        <f t="shared" si="62"/>
        <v>20080101</v>
      </c>
      <c r="I1339" s="20">
        <v>6.8</v>
      </c>
      <c r="J1339" s="20">
        <v>41</v>
      </c>
      <c r="K1339" s="28" t="s">
        <v>3644</v>
      </c>
    </row>
    <row r="1340" spans="1:11" x14ac:dyDescent="0.25">
      <c r="A1340" s="21">
        <v>1328</v>
      </c>
      <c r="B1340" s="21">
        <v>32</v>
      </c>
      <c r="C1340" s="26" t="s">
        <v>3698</v>
      </c>
      <c r="D1340" s="20" t="s">
        <v>3693</v>
      </c>
      <c r="E1340" s="27" t="str">
        <f>T("貝貝熊系列叢書(18)新鄰居")</f>
        <v>貝貝熊系列叢書(18)新鄰居</v>
      </c>
      <c r="F1340" s="20" t="s">
        <v>1962</v>
      </c>
      <c r="G1340" s="20" t="str">
        <f t="shared" si="63"/>
        <v>新疆青少年</v>
      </c>
      <c r="H1340" s="20" t="str">
        <f t="shared" si="62"/>
        <v>20080101</v>
      </c>
      <c r="I1340" s="20">
        <v>6.8</v>
      </c>
      <c r="J1340" s="20">
        <v>41</v>
      </c>
      <c r="K1340" s="28" t="s">
        <v>3644</v>
      </c>
    </row>
    <row r="1341" spans="1:11" x14ac:dyDescent="0.25">
      <c r="A1341" s="21">
        <v>1329</v>
      </c>
      <c r="B1341" s="21">
        <v>33</v>
      </c>
      <c r="C1341" s="26" t="s">
        <v>3699</v>
      </c>
      <c r="D1341" s="20" t="s">
        <v>3693</v>
      </c>
      <c r="E1341" s="27" t="str">
        <f>T("貝貝熊系列叢書(19)南瓜比賽")</f>
        <v>貝貝熊系列叢書(19)南瓜比賽</v>
      </c>
      <c r="F1341" s="20" t="s">
        <v>1962</v>
      </c>
      <c r="G1341" s="20" t="str">
        <f t="shared" si="63"/>
        <v>新疆青少年</v>
      </c>
      <c r="H1341" s="20" t="str">
        <f t="shared" si="62"/>
        <v>20080101</v>
      </c>
      <c r="I1341" s="20">
        <v>6.8</v>
      </c>
      <c r="J1341" s="20">
        <v>41</v>
      </c>
      <c r="K1341" s="28" t="s">
        <v>3644</v>
      </c>
    </row>
    <row r="1342" spans="1:11" x14ac:dyDescent="0.25">
      <c r="A1342" s="21">
        <v>1330</v>
      </c>
      <c r="B1342" s="21">
        <v>34</v>
      </c>
      <c r="C1342" s="26" t="s">
        <v>3700</v>
      </c>
      <c r="D1342" s="20" t="s">
        <v>3693</v>
      </c>
      <c r="E1342" s="27" t="str">
        <f>T("貝貝熊系列叢書(20)作業的煩惱")</f>
        <v>貝貝熊系列叢書(20)作業的煩惱</v>
      </c>
      <c r="F1342" s="20" t="s">
        <v>1962</v>
      </c>
      <c r="G1342" s="20" t="str">
        <f t="shared" si="63"/>
        <v>新疆青少年</v>
      </c>
      <c r="H1342" s="20" t="str">
        <f t="shared" si="62"/>
        <v>20080101</v>
      </c>
      <c r="I1342" s="20">
        <v>6.8</v>
      </c>
      <c r="J1342" s="20">
        <v>41</v>
      </c>
      <c r="K1342" s="28" t="s">
        <v>3644</v>
      </c>
    </row>
    <row r="1343" spans="1:11" x14ac:dyDescent="0.25">
      <c r="A1343" s="21">
        <v>1331</v>
      </c>
      <c r="B1343" s="21">
        <v>35</v>
      </c>
      <c r="C1343" s="26" t="s">
        <v>3701</v>
      </c>
      <c r="D1343" s="20" t="s">
        <v>3702</v>
      </c>
      <c r="E1343" s="27" t="str">
        <f>T("貝貝熊系列叢書(22)難忘的假日")</f>
        <v>貝貝熊系列叢書(22)難忘的假日</v>
      </c>
      <c r="F1343" s="20" t="s">
        <v>1962</v>
      </c>
      <c r="G1343" s="20" t="str">
        <f t="shared" si="63"/>
        <v>新疆青少年</v>
      </c>
      <c r="H1343" s="20" t="str">
        <f t="shared" si="62"/>
        <v>20080101</v>
      </c>
      <c r="I1343" s="20">
        <v>6.8</v>
      </c>
      <c r="J1343" s="20">
        <v>41</v>
      </c>
      <c r="K1343" s="28" t="s">
        <v>3644</v>
      </c>
    </row>
    <row r="1344" spans="1:11" x14ac:dyDescent="0.25">
      <c r="A1344" s="21">
        <v>1332</v>
      </c>
      <c r="B1344" s="21">
        <v>36</v>
      </c>
      <c r="C1344" s="26" t="s">
        <v>3703</v>
      </c>
      <c r="D1344" s="20" t="s">
        <v>3702</v>
      </c>
      <c r="E1344" s="27" t="str">
        <f>T("貝貝熊系列叢書(23)禮貌待人")</f>
        <v>貝貝熊系列叢書(23)禮貌待人</v>
      </c>
      <c r="F1344" s="20" t="s">
        <v>1962</v>
      </c>
      <c r="G1344" s="20" t="str">
        <f t="shared" si="63"/>
        <v>新疆青少年</v>
      </c>
      <c r="H1344" s="20" t="str">
        <f t="shared" si="62"/>
        <v>20080101</v>
      </c>
      <c r="I1344" s="20">
        <v>6.8</v>
      </c>
      <c r="J1344" s="20">
        <v>41</v>
      </c>
      <c r="K1344" s="28" t="s">
        <v>3644</v>
      </c>
    </row>
    <row r="1345" spans="1:11" x14ac:dyDescent="0.25">
      <c r="A1345" s="21">
        <v>1333</v>
      </c>
      <c r="B1345" s="21">
        <v>37</v>
      </c>
      <c r="C1345" s="26" t="s">
        <v>3704</v>
      </c>
      <c r="D1345" s="20" t="s">
        <v>3702</v>
      </c>
      <c r="E1345" s="27" t="str">
        <f>T("貝貝熊系列叢書(24)怕黑")</f>
        <v>貝貝熊系列叢書(24)怕黑</v>
      </c>
      <c r="F1345" s="20" t="s">
        <v>1962</v>
      </c>
      <c r="G1345" s="20" t="str">
        <f t="shared" si="63"/>
        <v>新疆青少年</v>
      </c>
      <c r="H1345" s="20" t="str">
        <f t="shared" si="62"/>
        <v>20080101</v>
      </c>
      <c r="I1345" s="20">
        <v>6.8</v>
      </c>
      <c r="J1345" s="20">
        <v>41</v>
      </c>
      <c r="K1345" s="28" t="s">
        <v>3644</v>
      </c>
    </row>
    <row r="1346" spans="1:11" x14ac:dyDescent="0.25">
      <c r="A1346" s="21">
        <v>1334</v>
      </c>
      <c r="B1346" s="21">
        <v>38</v>
      </c>
      <c r="C1346" s="26" t="s">
        <v>3705</v>
      </c>
      <c r="D1346" s="20" t="s">
        <v>3702</v>
      </c>
      <c r="E1346" s="27" t="str">
        <f>T("貝貝熊系列叢書(28)在奶奶家")</f>
        <v>貝貝熊系列叢書(28)在奶奶家</v>
      </c>
      <c r="F1346" s="20" t="s">
        <v>1962</v>
      </c>
      <c r="G1346" s="20" t="str">
        <f t="shared" si="63"/>
        <v>新疆青少年</v>
      </c>
      <c r="H1346" s="20" t="str">
        <f t="shared" si="62"/>
        <v>20080101</v>
      </c>
      <c r="I1346" s="20">
        <v>6.8</v>
      </c>
      <c r="J1346" s="20">
        <v>41</v>
      </c>
      <c r="K1346" s="28" t="s">
        <v>3644</v>
      </c>
    </row>
    <row r="1347" spans="1:11" x14ac:dyDescent="0.25">
      <c r="A1347" s="21">
        <v>1335</v>
      </c>
      <c r="B1347" s="21">
        <v>39</v>
      </c>
      <c r="C1347" s="26" t="s">
        <v>3706</v>
      </c>
      <c r="D1347" s="20" t="s">
        <v>3702</v>
      </c>
      <c r="E1347" s="27" t="str">
        <f>T("貝貝熊系列叢書(29)搬家")</f>
        <v>貝貝熊系列叢書(29)搬家</v>
      </c>
      <c r="F1347" s="20" t="s">
        <v>1962</v>
      </c>
      <c r="G1347" s="20" t="str">
        <f t="shared" si="63"/>
        <v>新疆青少年</v>
      </c>
      <c r="H1347" s="20" t="str">
        <f t="shared" si="62"/>
        <v>20080101</v>
      </c>
      <c r="I1347" s="20">
        <v>6.8</v>
      </c>
      <c r="J1347" s="20">
        <v>41</v>
      </c>
      <c r="K1347" s="28" t="s">
        <v>3644</v>
      </c>
    </row>
    <row r="1348" spans="1:11" x14ac:dyDescent="0.25">
      <c r="A1348" s="21">
        <v>1336</v>
      </c>
      <c r="B1348" s="21">
        <v>40</v>
      </c>
      <c r="C1348" s="26" t="s">
        <v>3707</v>
      </c>
      <c r="D1348" s="20" t="s">
        <v>3708</v>
      </c>
      <c r="E1348" s="27" t="str">
        <f>T("好餓的老狼和豬的小鎮")</f>
        <v>好餓的老狼和豬的小鎮</v>
      </c>
      <c r="F1348" s="20" t="s">
        <v>1962</v>
      </c>
      <c r="G1348" s="20" t="str">
        <f t="shared" si="63"/>
        <v>新疆青少年</v>
      </c>
      <c r="H1348" s="20" t="str">
        <f t="shared" si="62"/>
        <v>20080101</v>
      </c>
      <c r="I1348" s="20">
        <v>28</v>
      </c>
      <c r="J1348" s="20">
        <v>168</v>
      </c>
      <c r="K1348" s="28" t="s">
        <v>3644</v>
      </c>
    </row>
    <row r="1349" spans="1:11" x14ac:dyDescent="0.25">
      <c r="A1349" s="21">
        <v>1337</v>
      </c>
      <c r="B1349" s="21">
        <v>41</v>
      </c>
      <c r="C1349" s="26" t="s">
        <v>3709</v>
      </c>
      <c r="D1349" s="20" t="s">
        <v>3710</v>
      </c>
      <c r="E1349" s="27" t="str">
        <f>T("不可不知的阿凡提經典故事")</f>
        <v>不可不知的阿凡提經典故事</v>
      </c>
      <c r="F1349" s="20" t="s">
        <v>1962</v>
      </c>
      <c r="G1349" s="20" t="str">
        <f t="shared" si="63"/>
        <v>新疆青少年</v>
      </c>
      <c r="H1349" s="20" t="str">
        <f t="shared" si="62"/>
        <v>20080101</v>
      </c>
      <c r="I1349" s="20">
        <v>13.8</v>
      </c>
      <c r="J1349" s="20">
        <v>83</v>
      </c>
      <c r="K1349" s="28" t="s">
        <v>3644</v>
      </c>
    </row>
    <row r="1350" spans="1:11" x14ac:dyDescent="0.25">
      <c r="A1350" s="21">
        <v>1338</v>
      </c>
      <c r="B1350" s="21">
        <v>42</v>
      </c>
      <c r="C1350" s="26" t="s">
        <v>3711</v>
      </c>
      <c r="D1350" s="20" t="s">
        <v>3712</v>
      </c>
      <c r="E1350" s="27" t="str">
        <f>T("寶貝的第一本經典名著-三劍客")</f>
        <v>寶貝的第一本經典名著-三劍客</v>
      </c>
      <c r="F1350" s="20" t="s">
        <v>1962</v>
      </c>
      <c r="G1350" s="20" t="str">
        <f t="shared" si="63"/>
        <v>新疆青少年</v>
      </c>
      <c r="H1350" s="20" t="str">
        <f t="shared" si="62"/>
        <v>20080101</v>
      </c>
      <c r="I1350" s="20">
        <v>10</v>
      </c>
      <c r="J1350" s="20">
        <v>60</v>
      </c>
      <c r="K1350" s="28" t="s">
        <v>3644</v>
      </c>
    </row>
    <row r="1351" spans="1:11" x14ac:dyDescent="0.25">
      <c r="A1351" s="21">
        <v>1339</v>
      </c>
      <c r="B1351" s="21">
        <v>43</v>
      </c>
      <c r="C1351" s="26" t="s">
        <v>3713</v>
      </c>
      <c r="D1351" s="20" t="s">
        <v>3714</v>
      </c>
      <c r="E1351" s="27" t="str">
        <f>T("寶貝的第一本經典名著-秘密花園")</f>
        <v>寶貝的第一本經典名著-秘密花園</v>
      </c>
      <c r="F1351" s="20" t="s">
        <v>1962</v>
      </c>
      <c r="G1351" s="20" t="str">
        <f t="shared" si="63"/>
        <v>新疆青少年</v>
      </c>
      <c r="H1351" s="20" t="str">
        <f t="shared" si="62"/>
        <v>20080101</v>
      </c>
      <c r="I1351" s="20">
        <v>10</v>
      </c>
      <c r="J1351" s="20">
        <v>60</v>
      </c>
      <c r="K1351" s="28" t="s">
        <v>3644</v>
      </c>
    </row>
    <row r="1352" spans="1:11" x14ac:dyDescent="0.25">
      <c r="A1352" s="21">
        <v>1340</v>
      </c>
      <c r="B1352" s="21">
        <v>44</v>
      </c>
      <c r="C1352" s="26" t="s">
        <v>3715</v>
      </c>
      <c r="D1352" s="20" t="s">
        <v>3716</v>
      </c>
      <c r="E1352" s="27" t="str">
        <f>T("寶貝的第一本經典名著-孤雛淚")</f>
        <v>寶貝的第一本經典名著-孤雛淚</v>
      </c>
      <c r="F1352" s="20" t="s">
        <v>1962</v>
      </c>
      <c r="G1352" s="20" t="str">
        <f t="shared" si="63"/>
        <v>新疆青少年</v>
      </c>
      <c r="H1352" s="20" t="str">
        <f t="shared" si="62"/>
        <v>20080101</v>
      </c>
      <c r="I1352" s="20">
        <v>10</v>
      </c>
      <c r="J1352" s="20">
        <v>60</v>
      </c>
      <c r="K1352" s="28" t="s">
        <v>3644</v>
      </c>
    </row>
    <row r="1353" spans="1:11" x14ac:dyDescent="0.25">
      <c r="A1353" s="21">
        <v>1341</v>
      </c>
      <c r="B1353" s="21">
        <v>45</v>
      </c>
      <c r="C1353" s="26" t="s">
        <v>3717</v>
      </c>
      <c r="D1353" s="20" t="s">
        <v>3718</v>
      </c>
      <c r="E1353" s="27" t="str">
        <f>T("寶貝的第一本經典名著-天方夜譚")</f>
        <v>寶貝的第一本經典名著-天方夜譚</v>
      </c>
      <c r="F1353" s="20" t="s">
        <v>1962</v>
      </c>
      <c r="G1353" s="20" t="str">
        <f t="shared" si="63"/>
        <v>新疆青少年</v>
      </c>
      <c r="H1353" s="20" t="str">
        <f t="shared" si="62"/>
        <v>20080101</v>
      </c>
      <c r="I1353" s="20">
        <v>10</v>
      </c>
      <c r="J1353" s="20">
        <v>60</v>
      </c>
      <c r="K1353" s="28" t="s">
        <v>3644</v>
      </c>
    </row>
    <row r="1354" spans="1:11" x14ac:dyDescent="0.25">
      <c r="A1354" s="21">
        <v>1342</v>
      </c>
      <c r="B1354" s="21">
        <v>46</v>
      </c>
      <c r="C1354" s="26" t="s">
        <v>3719</v>
      </c>
      <c r="D1354" s="20" t="s">
        <v>3720</v>
      </c>
      <c r="E1354" s="27" t="str">
        <f>T("寶貝的第一本經典名著-小木偶")</f>
        <v>寶貝的第一本經典名著-小木偶</v>
      </c>
      <c r="F1354" s="20" t="s">
        <v>1962</v>
      </c>
      <c r="G1354" s="20" t="str">
        <f t="shared" si="63"/>
        <v>新疆青少年</v>
      </c>
      <c r="H1354" s="20" t="str">
        <f t="shared" si="62"/>
        <v>20080101</v>
      </c>
      <c r="I1354" s="20">
        <v>10</v>
      </c>
      <c r="J1354" s="20">
        <v>60</v>
      </c>
      <c r="K1354" s="28" t="s">
        <v>3644</v>
      </c>
    </row>
    <row r="1355" spans="1:11" x14ac:dyDescent="0.25">
      <c r="A1355" s="21">
        <v>1343</v>
      </c>
      <c r="B1355" s="21">
        <v>47</v>
      </c>
      <c r="C1355" s="26" t="s">
        <v>3721</v>
      </c>
      <c r="D1355" s="20" t="s">
        <v>3722</v>
      </c>
      <c r="E1355" s="27" t="str">
        <f>T("寶貝的第一本經典名著-伊索寓言")</f>
        <v>寶貝的第一本經典名著-伊索寓言</v>
      </c>
      <c r="F1355" s="20" t="s">
        <v>1962</v>
      </c>
      <c r="G1355" s="20" t="str">
        <f t="shared" si="63"/>
        <v>新疆青少年</v>
      </c>
      <c r="H1355" s="20" t="str">
        <f t="shared" si="62"/>
        <v>20080101</v>
      </c>
      <c r="I1355" s="20">
        <v>10</v>
      </c>
      <c r="J1355" s="20">
        <v>60</v>
      </c>
      <c r="K1355" s="28" t="s">
        <v>3644</v>
      </c>
    </row>
    <row r="1356" spans="1:11" x14ac:dyDescent="0.25">
      <c r="A1356" s="21">
        <v>1344</v>
      </c>
      <c r="B1356" s="21">
        <v>48</v>
      </c>
      <c r="C1356" s="26" t="s">
        <v>3723</v>
      </c>
      <c r="D1356" s="20" t="s">
        <v>3724</v>
      </c>
      <c r="E1356" s="27" t="str">
        <f>T("寶貝的第一本經典名著-小婦人")</f>
        <v>寶貝的第一本經典名著-小婦人</v>
      </c>
      <c r="F1356" s="20" t="s">
        <v>1962</v>
      </c>
      <c r="G1356" s="20" t="str">
        <f t="shared" si="63"/>
        <v>新疆青少年</v>
      </c>
      <c r="H1356" s="20" t="str">
        <f t="shared" si="62"/>
        <v>20080101</v>
      </c>
      <c r="I1356" s="20">
        <v>10</v>
      </c>
      <c r="J1356" s="20">
        <v>60</v>
      </c>
      <c r="K1356" s="28" t="s">
        <v>3644</v>
      </c>
    </row>
    <row r="1357" spans="1:11" x14ac:dyDescent="0.25">
      <c r="A1357" s="21">
        <v>1345</v>
      </c>
      <c r="B1357" s="21">
        <v>49</v>
      </c>
      <c r="C1357" s="26" t="s">
        <v>3725</v>
      </c>
      <c r="D1357" s="20" t="s">
        <v>3726</v>
      </c>
      <c r="E1357" s="27" t="str">
        <f>T("寶貝的第一本經典名著-羅賓漢")</f>
        <v>寶貝的第一本經典名著-羅賓漢</v>
      </c>
      <c r="F1357" s="20" t="s">
        <v>1962</v>
      </c>
      <c r="G1357" s="20" t="str">
        <f t="shared" si="63"/>
        <v>新疆青少年</v>
      </c>
      <c r="H1357" s="20" t="str">
        <f t="shared" si="62"/>
        <v>20080101</v>
      </c>
      <c r="I1357" s="20">
        <v>10</v>
      </c>
      <c r="J1357" s="20">
        <v>60</v>
      </c>
      <c r="K1357" s="28" t="s">
        <v>3644</v>
      </c>
    </row>
    <row r="1358" spans="1:11" x14ac:dyDescent="0.25">
      <c r="A1358" s="21">
        <v>1346</v>
      </c>
      <c r="B1358" s="21">
        <v>50</v>
      </c>
      <c r="C1358" s="26" t="s">
        <v>3727</v>
      </c>
      <c r="D1358" s="20" t="s">
        <v>3728</v>
      </c>
      <c r="E1358" s="27" t="str">
        <f>T("寶貝的第一本經典名著-小公主")</f>
        <v>寶貝的第一本經典名著-小公主</v>
      </c>
      <c r="F1358" s="20" t="s">
        <v>1962</v>
      </c>
      <c r="G1358" s="20" t="str">
        <f t="shared" si="63"/>
        <v>新疆青少年</v>
      </c>
      <c r="H1358" s="20" t="str">
        <f t="shared" si="62"/>
        <v>20080101</v>
      </c>
      <c r="I1358" s="20">
        <v>10</v>
      </c>
      <c r="J1358" s="20">
        <v>60</v>
      </c>
      <c r="K1358" s="28" t="s">
        <v>3644</v>
      </c>
    </row>
    <row r="1359" spans="1:11" x14ac:dyDescent="0.25">
      <c r="A1359" s="21">
        <v>1347</v>
      </c>
      <c r="B1359" s="21">
        <v>51</v>
      </c>
      <c r="C1359" s="26" t="s">
        <v>3729</v>
      </c>
      <c r="D1359" s="20" t="s">
        <v>3730</v>
      </c>
      <c r="E1359" s="27" t="str">
        <f>T("美麗的夢想")</f>
        <v>美麗的夢想</v>
      </c>
      <c r="F1359" s="20" t="s">
        <v>1962</v>
      </c>
      <c r="G1359" s="20" t="str">
        <f t="shared" si="63"/>
        <v>新疆青少年</v>
      </c>
      <c r="H1359" s="20" t="str">
        <f t="shared" si="62"/>
        <v>20080101</v>
      </c>
      <c r="I1359" s="20">
        <v>28</v>
      </c>
      <c r="J1359" s="20">
        <v>168</v>
      </c>
      <c r="K1359" s="28" t="s">
        <v>3644</v>
      </c>
    </row>
    <row r="1360" spans="1:11" ht="28.5" x14ac:dyDescent="0.25">
      <c r="A1360" s="21">
        <v>1348</v>
      </c>
      <c r="B1360" s="21">
        <v>52</v>
      </c>
      <c r="C1360" s="26" t="s">
        <v>3731</v>
      </c>
      <c r="D1360" s="20" t="s">
        <v>3732</v>
      </c>
      <c r="E1360" s="27" t="str">
        <f>T("阿凡提經典故事繪本系列 要什麼就給你什麼")</f>
        <v>阿凡提經典故事繪本系列 要什麼就給你什麼</v>
      </c>
      <c r="F1360" s="20" t="s">
        <v>1962</v>
      </c>
      <c r="G1360" s="20" t="str">
        <f t="shared" si="63"/>
        <v>新疆青少年</v>
      </c>
      <c r="H1360" s="20" t="str">
        <f t="shared" si="62"/>
        <v>20080101</v>
      </c>
      <c r="I1360" s="20">
        <v>25.8</v>
      </c>
      <c r="J1360" s="20">
        <v>155</v>
      </c>
      <c r="K1360" s="28" t="s">
        <v>3644</v>
      </c>
    </row>
    <row r="1361" spans="1:11" x14ac:dyDescent="0.25">
      <c r="A1361" s="21">
        <v>1349</v>
      </c>
      <c r="B1361" s="21">
        <v>53</v>
      </c>
      <c r="C1361" s="26" t="s">
        <v>3733</v>
      </c>
      <c r="D1361" s="20" t="s">
        <v>3734</v>
      </c>
      <c r="E1361" s="27" t="str">
        <f>T("阿凡提經典故事繪本系列 像驢尾巴一樣多")</f>
        <v>阿凡提經典故事繪本系列 像驢尾巴一樣多</v>
      </c>
      <c r="F1361" s="20" t="s">
        <v>1962</v>
      </c>
      <c r="G1361" s="20" t="str">
        <f t="shared" si="63"/>
        <v>新疆青少年</v>
      </c>
      <c r="H1361" s="20" t="str">
        <f t="shared" si="62"/>
        <v>20080101</v>
      </c>
      <c r="I1361" s="20">
        <v>25.8</v>
      </c>
      <c r="J1361" s="20">
        <v>155</v>
      </c>
      <c r="K1361" s="28" t="s">
        <v>3644</v>
      </c>
    </row>
    <row r="1362" spans="1:11" x14ac:dyDescent="0.25">
      <c r="A1362" s="21">
        <v>1350</v>
      </c>
      <c r="B1362" s="21">
        <v>54</v>
      </c>
      <c r="C1362" s="26" t="s">
        <v>3735</v>
      </c>
      <c r="D1362" s="20" t="s">
        <v>3736</v>
      </c>
      <c r="E1362" s="27" t="str">
        <f>T("貝貝熊系列叢書(41)找回輕鬆")</f>
        <v>貝貝熊系列叢書(41)找回輕鬆</v>
      </c>
      <c r="F1362" s="20" t="s">
        <v>1962</v>
      </c>
      <c r="G1362" s="20" t="str">
        <f t="shared" si="63"/>
        <v>新疆青少年</v>
      </c>
      <c r="H1362" s="20" t="str">
        <f t="shared" si="62"/>
        <v>20080101</v>
      </c>
      <c r="I1362" s="20">
        <v>7.8</v>
      </c>
      <c r="J1362" s="20">
        <v>47</v>
      </c>
      <c r="K1362" s="28" t="s">
        <v>3644</v>
      </c>
    </row>
    <row r="1363" spans="1:11" x14ac:dyDescent="0.25">
      <c r="A1363" s="21">
        <v>1351</v>
      </c>
      <c r="B1363" s="21">
        <v>55</v>
      </c>
      <c r="C1363" s="26" t="s">
        <v>3737</v>
      </c>
      <c r="D1363" s="20" t="s">
        <v>3738</v>
      </c>
      <c r="E1363" s="27" t="str">
        <f>T("貝貝熊系列叢書(39)成績單大麻煩")</f>
        <v>貝貝熊系列叢書(39)成績單大麻煩</v>
      </c>
      <c r="F1363" s="20" t="s">
        <v>1962</v>
      </c>
      <c r="G1363" s="20" t="str">
        <f t="shared" si="63"/>
        <v>新疆青少年</v>
      </c>
      <c r="H1363" s="20" t="str">
        <f t="shared" si="62"/>
        <v>20080101</v>
      </c>
      <c r="I1363" s="20">
        <v>7.8</v>
      </c>
      <c r="J1363" s="20">
        <v>47</v>
      </c>
      <c r="K1363" s="28" t="s">
        <v>3644</v>
      </c>
    </row>
    <row r="1364" spans="1:11" x14ac:dyDescent="0.25">
      <c r="A1364" s="21">
        <v>1352</v>
      </c>
      <c r="B1364" s="21">
        <v>56</v>
      </c>
      <c r="C1364" s="26" t="s">
        <v>3739</v>
      </c>
      <c r="D1364" s="20" t="s">
        <v>3740</v>
      </c>
      <c r="E1364" s="27" t="str">
        <f>T("貝貝熊系列叢書(49)自己試試看")</f>
        <v>貝貝熊系列叢書(49)自己試試看</v>
      </c>
      <c r="F1364" s="20" t="s">
        <v>1962</v>
      </c>
      <c r="G1364" s="20" t="str">
        <f t="shared" si="63"/>
        <v>新疆青少年</v>
      </c>
      <c r="H1364" s="20" t="str">
        <f t="shared" si="62"/>
        <v>20080101</v>
      </c>
      <c r="I1364" s="20">
        <v>7.8</v>
      </c>
      <c r="J1364" s="20">
        <v>47</v>
      </c>
      <c r="K1364" s="28" t="s">
        <v>3644</v>
      </c>
    </row>
    <row r="1365" spans="1:11" x14ac:dyDescent="0.25">
      <c r="A1365" s="21">
        <v>1353</v>
      </c>
      <c r="B1365" s="21">
        <v>57</v>
      </c>
      <c r="C1365" s="26" t="s">
        <v>3741</v>
      </c>
      <c r="D1365" s="20" t="s">
        <v>3742</v>
      </c>
      <c r="E1365" s="27" t="str">
        <f>T("貝貝熊系列叢書(47)自己做做看")</f>
        <v>貝貝熊系列叢書(47)自己做做看</v>
      </c>
      <c r="F1365" s="20" t="s">
        <v>1962</v>
      </c>
      <c r="G1365" s="20" t="str">
        <f t="shared" si="63"/>
        <v>新疆青少年</v>
      </c>
      <c r="H1365" s="20" t="str">
        <f t="shared" si="62"/>
        <v>20080101</v>
      </c>
      <c r="I1365" s="20">
        <v>7.8</v>
      </c>
      <c r="J1365" s="20">
        <v>47</v>
      </c>
      <c r="K1365" s="28" t="s">
        <v>3644</v>
      </c>
    </row>
    <row r="1366" spans="1:11" x14ac:dyDescent="0.25">
      <c r="A1366" s="21">
        <v>1354</v>
      </c>
      <c r="B1366" s="21">
        <v>58</v>
      </c>
      <c r="C1366" s="26" t="s">
        <v>3743</v>
      </c>
      <c r="D1366" s="20" t="s">
        <v>3744</v>
      </c>
      <c r="E1366" s="27" t="str">
        <f>T("貝貝熊系列叢書(48)自己畫畫看")</f>
        <v>貝貝熊系列叢書(48)自己畫畫看</v>
      </c>
      <c r="F1366" s="20" t="s">
        <v>1962</v>
      </c>
      <c r="G1366" s="20" t="str">
        <f t="shared" si="63"/>
        <v>新疆青少年</v>
      </c>
      <c r="H1366" s="20" t="str">
        <f t="shared" si="62"/>
        <v>20080101</v>
      </c>
      <c r="I1366" s="20">
        <v>7.8</v>
      </c>
      <c r="J1366" s="20">
        <v>47</v>
      </c>
      <c r="K1366" s="28" t="s">
        <v>3644</v>
      </c>
    </row>
    <row r="1367" spans="1:11" x14ac:dyDescent="0.25">
      <c r="A1367" s="21">
        <v>1355</v>
      </c>
      <c r="B1367" s="21">
        <v>59</v>
      </c>
      <c r="C1367" s="26" t="s">
        <v>3745</v>
      </c>
      <c r="D1367" s="20" t="s">
        <v>3746</v>
      </c>
      <c r="E1367" s="27" t="str">
        <f>T("貝貝熊系列叢書(44)抱抱別生氣")</f>
        <v>貝貝熊系列叢書(44)抱抱別生氣</v>
      </c>
      <c r="F1367" s="20" t="s">
        <v>1962</v>
      </c>
      <c r="G1367" s="20" t="str">
        <f t="shared" si="63"/>
        <v>新疆青少年</v>
      </c>
      <c r="H1367" s="20" t="str">
        <f t="shared" si="62"/>
        <v>20080101</v>
      </c>
      <c r="I1367" s="20">
        <v>7.8</v>
      </c>
      <c r="J1367" s="20">
        <v>47</v>
      </c>
      <c r="K1367" s="28" t="s">
        <v>3644</v>
      </c>
    </row>
    <row r="1368" spans="1:11" x14ac:dyDescent="0.25">
      <c r="A1368" s="21">
        <v>1356</v>
      </c>
      <c r="B1368" s="21">
        <v>60</v>
      </c>
      <c r="C1368" s="26" t="s">
        <v>3747</v>
      </c>
      <c r="D1368" s="20" t="s">
        <v>3748</v>
      </c>
      <c r="E1368" s="27" t="str">
        <f>T("貝貝熊系列叢書(34)麻煩的家務活")</f>
        <v>貝貝熊系列叢書(34)麻煩的家務活</v>
      </c>
      <c r="F1368" s="20" t="s">
        <v>1962</v>
      </c>
      <c r="G1368" s="20" t="str">
        <f t="shared" si="63"/>
        <v>新疆青少年</v>
      </c>
      <c r="H1368" s="20" t="str">
        <f t="shared" si="62"/>
        <v>20080101</v>
      </c>
      <c r="I1368" s="20">
        <v>7.8</v>
      </c>
      <c r="J1368" s="20">
        <v>47</v>
      </c>
      <c r="K1368" s="28" t="s">
        <v>3644</v>
      </c>
    </row>
    <row r="1369" spans="1:11" x14ac:dyDescent="0.25">
      <c r="A1369" s="21">
        <v>1357</v>
      </c>
      <c r="B1369" s="21">
        <v>61</v>
      </c>
      <c r="C1369" s="26" t="s">
        <v>3749</v>
      </c>
      <c r="D1369" s="20" t="s">
        <v>3750</v>
      </c>
      <c r="E1369" s="27" t="str">
        <f>T("貝貝熊系列叢書(33)看牙醫")</f>
        <v>貝貝熊系列叢書(33)看牙醫</v>
      </c>
      <c r="F1369" s="20" t="s">
        <v>1962</v>
      </c>
      <c r="G1369" s="20" t="str">
        <f t="shared" si="63"/>
        <v>新疆青少年</v>
      </c>
      <c r="H1369" s="20" t="str">
        <f t="shared" si="62"/>
        <v>20080101</v>
      </c>
      <c r="I1369" s="20">
        <v>7.8</v>
      </c>
      <c r="J1369" s="20">
        <v>47</v>
      </c>
      <c r="K1369" s="28" t="s">
        <v>3644</v>
      </c>
    </row>
    <row r="1370" spans="1:11" x14ac:dyDescent="0.25">
      <c r="A1370" s="21">
        <v>1358</v>
      </c>
      <c r="B1370" s="21">
        <v>62</v>
      </c>
      <c r="C1370" s="26" t="s">
        <v>3751</v>
      </c>
      <c r="D1370" s="20" t="s">
        <v>3752</v>
      </c>
      <c r="E1370" s="27" t="str">
        <f>T("貝貝熊系列叢書(40)學會理財")</f>
        <v>貝貝熊系列叢書(40)學會理財</v>
      </c>
      <c r="F1370" s="20" t="s">
        <v>1962</v>
      </c>
      <c r="G1370" s="20" t="str">
        <f t="shared" si="63"/>
        <v>新疆青少年</v>
      </c>
      <c r="H1370" s="20" t="str">
        <f t="shared" si="62"/>
        <v>20080101</v>
      </c>
      <c r="I1370" s="20">
        <v>7.8</v>
      </c>
      <c r="J1370" s="20">
        <v>47</v>
      </c>
      <c r="K1370" s="28" t="s">
        <v>3644</v>
      </c>
    </row>
    <row r="1371" spans="1:11" x14ac:dyDescent="0.25">
      <c r="A1371" s="21">
        <v>1359</v>
      </c>
      <c r="B1371" s="21">
        <v>63</v>
      </c>
      <c r="C1371" s="26" t="s">
        <v>3753</v>
      </c>
      <c r="D1371" s="20" t="s">
        <v>3754</v>
      </c>
      <c r="E1371" s="27" t="str">
        <f>T("貝貝熊系列叢書(50)自己種種看")</f>
        <v>貝貝熊系列叢書(50)自己種種看</v>
      </c>
      <c r="F1371" s="20" t="s">
        <v>1962</v>
      </c>
      <c r="G1371" s="20" t="str">
        <f t="shared" si="63"/>
        <v>新疆青少年</v>
      </c>
      <c r="H1371" s="20" t="str">
        <f t="shared" si="62"/>
        <v>20080101</v>
      </c>
      <c r="I1371" s="20">
        <v>7.8</v>
      </c>
      <c r="J1371" s="20">
        <v>47</v>
      </c>
      <c r="K1371" s="28" t="s">
        <v>3644</v>
      </c>
    </row>
    <row r="1372" spans="1:11" x14ac:dyDescent="0.25">
      <c r="A1372" s="21">
        <v>1360</v>
      </c>
      <c r="B1372" s="21">
        <v>64</v>
      </c>
      <c r="C1372" s="26" t="s">
        <v>3755</v>
      </c>
      <c r="D1372" s="20" t="s">
        <v>3756</v>
      </c>
      <c r="E1372" s="27" t="str">
        <f>T("貝貝熊系列叢書(35)睡前大戰")</f>
        <v>貝貝熊系列叢書(35)睡前大戰</v>
      </c>
      <c r="F1372" s="20" t="s">
        <v>1962</v>
      </c>
      <c r="G1372" s="20" t="str">
        <f t="shared" si="63"/>
        <v>新疆青少年</v>
      </c>
      <c r="H1372" s="20" t="str">
        <f t="shared" si="62"/>
        <v>20080101</v>
      </c>
      <c r="I1372" s="20">
        <v>7.8</v>
      </c>
      <c r="J1372" s="20">
        <v>47</v>
      </c>
      <c r="K1372" s="28" t="s">
        <v>3644</v>
      </c>
    </row>
    <row r="1373" spans="1:11" x14ac:dyDescent="0.25">
      <c r="A1373" s="21">
        <v>1361</v>
      </c>
      <c r="B1373" s="21">
        <v>65</v>
      </c>
      <c r="C1373" s="26" t="s">
        <v>3757</v>
      </c>
      <c r="D1373" s="20" t="s">
        <v>3758</v>
      </c>
      <c r="E1373" s="27" t="str">
        <f>T("貝貝熊系列叢書(36)玩具迷")</f>
        <v>貝貝熊系列叢書(36)玩具迷</v>
      </c>
      <c r="F1373" s="20" t="s">
        <v>1962</v>
      </c>
      <c r="G1373" s="20" t="str">
        <f t="shared" si="63"/>
        <v>新疆青少年</v>
      </c>
      <c r="H1373" s="20" t="str">
        <f t="shared" si="62"/>
        <v>20080101</v>
      </c>
      <c r="I1373" s="20">
        <v>7.8</v>
      </c>
      <c r="J1373" s="20">
        <v>47</v>
      </c>
      <c r="K1373" s="28" t="s">
        <v>3644</v>
      </c>
    </row>
    <row r="1374" spans="1:11" x14ac:dyDescent="0.25">
      <c r="A1374" s="21">
        <v>1362</v>
      </c>
      <c r="B1374" s="21">
        <v>66</v>
      </c>
      <c r="C1374" s="26" t="s">
        <v>3759</v>
      </c>
      <c r="D1374" s="20" t="s">
        <v>3760</v>
      </c>
      <c r="E1374" s="27" t="str">
        <f>T("貝貝熊系列叢書(37)舞台怕不怕")</f>
        <v>貝貝熊系列叢書(37)舞台怕不怕</v>
      </c>
      <c r="F1374" s="20" t="s">
        <v>1962</v>
      </c>
      <c r="G1374" s="20" t="str">
        <f t="shared" si="63"/>
        <v>新疆青少年</v>
      </c>
      <c r="H1374" s="20" t="str">
        <f t="shared" si="62"/>
        <v>20080101</v>
      </c>
      <c r="I1374" s="20">
        <v>7.8</v>
      </c>
      <c r="J1374" s="20">
        <v>47</v>
      </c>
      <c r="K1374" s="28" t="s">
        <v>3644</v>
      </c>
    </row>
    <row r="1375" spans="1:11" x14ac:dyDescent="0.25">
      <c r="A1375" s="21">
        <v>1363</v>
      </c>
      <c r="B1375" s="21">
        <v>67</v>
      </c>
      <c r="C1375" s="26" t="s">
        <v>3761</v>
      </c>
      <c r="D1375" s="20" t="s">
        <v>3762</v>
      </c>
      <c r="E1375" s="27" t="str">
        <f>T("貝貝熊系列叢書(32)遇見聖誕熊")</f>
        <v>貝貝熊系列叢書(32)遇見聖誕熊</v>
      </c>
      <c r="F1375" s="20" t="s">
        <v>1962</v>
      </c>
      <c r="G1375" s="20" t="str">
        <f t="shared" si="63"/>
        <v>新疆青少年</v>
      </c>
      <c r="H1375" s="20" t="str">
        <f t="shared" si="62"/>
        <v>20080101</v>
      </c>
      <c r="I1375" s="20">
        <v>7.8</v>
      </c>
      <c r="J1375" s="20">
        <v>47</v>
      </c>
      <c r="K1375" s="28" t="s">
        <v>3644</v>
      </c>
    </row>
    <row r="1376" spans="1:11" x14ac:dyDescent="0.25">
      <c r="A1376" s="21">
        <v>1364</v>
      </c>
      <c r="B1376" s="21">
        <v>68</v>
      </c>
      <c r="C1376" s="26" t="s">
        <v>3763</v>
      </c>
      <c r="D1376" s="20" t="s">
        <v>3764</v>
      </c>
      <c r="E1376" s="27" t="str">
        <f>T("貝貝熊系列叢書(38)妹妹的假條")</f>
        <v>貝貝熊系列叢書(38)妹妹的假條</v>
      </c>
      <c r="F1376" s="20" t="s">
        <v>1962</v>
      </c>
      <c r="G1376" s="20" t="str">
        <f t="shared" si="63"/>
        <v>新疆青少年</v>
      </c>
      <c r="H1376" s="20" t="str">
        <f t="shared" si="62"/>
        <v>20080101</v>
      </c>
      <c r="I1376" s="20">
        <v>7.8</v>
      </c>
      <c r="J1376" s="20">
        <v>47</v>
      </c>
      <c r="K1376" s="28" t="s">
        <v>3644</v>
      </c>
    </row>
    <row r="1377" spans="1:11" x14ac:dyDescent="0.25">
      <c r="A1377" s="21">
        <v>1365</v>
      </c>
      <c r="B1377" s="21">
        <v>69</v>
      </c>
      <c r="C1377" s="26" t="s">
        <v>3765</v>
      </c>
      <c r="D1377" s="20" t="s">
        <v>3766</v>
      </c>
      <c r="E1377" s="27" t="str">
        <f>T("快樂天使 阿凡提")</f>
        <v>快樂天使 阿凡提</v>
      </c>
      <c r="F1377" s="20" t="s">
        <v>1962</v>
      </c>
      <c r="G1377" s="20" t="str">
        <f t="shared" si="63"/>
        <v>新疆青少年</v>
      </c>
      <c r="H1377" s="20" t="str">
        <f t="shared" si="62"/>
        <v>20080101</v>
      </c>
      <c r="I1377" s="20">
        <v>23</v>
      </c>
      <c r="J1377" s="20">
        <v>138</v>
      </c>
      <c r="K1377" s="28" t="s">
        <v>3644</v>
      </c>
    </row>
    <row r="1378" spans="1:11" x14ac:dyDescent="0.25">
      <c r="A1378" s="21">
        <v>1366</v>
      </c>
      <c r="B1378" s="21">
        <v>70</v>
      </c>
      <c r="C1378" s="26" t="s">
        <v>3767</v>
      </c>
      <c r="D1378" s="20" t="s">
        <v>3768</v>
      </c>
      <c r="E1378" s="27" t="str">
        <f>T("張天翼作品賞析叢書  大林和小林")</f>
        <v>張天翼作品賞析叢書  大林和小林</v>
      </c>
      <c r="F1378" s="20" t="s">
        <v>1962</v>
      </c>
      <c r="G1378" s="20" t="str">
        <f t="shared" si="63"/>
        <v>新疆青少年</v>
      </c>
      <c r="H1378" s="20" t="str">
        <f t="shared" si="62"/>
        <v>20080101</v>
      </c>
      <c r="I1378" s="20">
        <v>19.8</v>
      </c>
      <c r="J1378" s="20">
        <v>119</v>
      </c>
      <c r="K1378" s="28" t="s">
        <v>3644</v>
      </c>
    </row>
    <row r="1379" spans="1:11" x14ac:dyDescent="0.25">
      <c r="A1379" s="21">
        <v>1367</v>
      </c>
      <c r="B1379" s="21">
        <v>71</v>
      </c>
      <c r="C1379" s="26" t="s">
        <v>3769</v>
      </c>
      <c r="D1379" s="20" t="s">
        <v>3770</v>
      </c>
      <c r="E1379" s="27" t="str">
        <f>T("寶葫蘆的秘密")</f>
        <v>寶葫蘆的秘密</v>
      </c>
      <c r="F1379" s="20" t="s">
        <v>1962</v>
      </c>
      <c r="G1379" s="20" t="str">
        <f t="shared" si="63"/>
        <v>新疆青少年</v>
      </c>
      <c r="H1379" s="20" t="str">
        <f t="shared" si="62"/>
        <v>20080101</v>
      </c>
      <c r="I1379" s="20">
        <v>25</v>
      </c>
      <c r="J1379" s="20">
        <v>150</v>
      </c>
      <c r="K1379" s="28" t="s">
        <v>3644</v>
      </c>
    </row>
    <row r="1380" spans="1:11" x14ac:dyDescent="0.25">
      <c r="A1380" s="21">
        <v>1368</v>
      </c>
      <c r="B1380" s="21">
        <v>72</v>
      </c>
      <c r="C1380" s="26" t="s">
        <v>3771</v>
      </c>
      <c r="D1380" s="20" t="s">
        <v>3772</v>
      </c>
      <c r="E1380" s="27" t="str">
        <f>T("禿禿")</f>
        <v>禿禿</v>
      </c>
      <c r="F1380" s="20" t="s">
        <v>1962</v>
      </c>
      <c r="G1380" s="20" t="str">
        <f t="shared" si="63"/>
        <v>新疆青少年</v>
      </c>
      <c r="H1380" s="20" t="str">
        <f t="shared" si="62"/>
        <v>20080101</v>
      </c>
      <c r="I1380" s="20">
        <v>19.8</v>
      </c>
      <c r="J1380" s="20">
        <v>119</v>
      </c>
      <c r="K1380" s="28" t="s">
        <v>3644</v>
      </c>
    </row>
    <row r="1381" spans="1:11" x14ac:dyDescent="0.25">
      <c r="A1381" s="21">
        <v>1369</v>
      </c>
      <c r="B1381" s="21">
        <v>73</v>
      </c>
      <c r="C1381" s="26" t="s">
        <v>3773</v>
      </c>
      <c r="D1381" s="20" t="s">
        <v>3774</v>
      </c>
      <c r="E1381" s="27" t="str">
        <f>T("小鱷狼喜歡害怕的感覺")</f>
        <v>小鱷狼喜歡害怕的感覺</v>
      </c>
      <c r="F1381" s="20" t="s">
        <v>1962</v>
      </c>
      <c r="G1381" s="20" t="str">
        <f t="shared" si="63"/>
        <v>新疆青少年</v>
      </c>
      <c r="H1381" s="20" t="str">
        <f t="shared" si="62"/>
        <v>20080101</v>
      </c>
      <c r="I1381" s="20">
        <v>8</v>
      </c>
      <c r="J1381" s="20">
        <v>48</v>
      </c>
      <c r="K1381" s="28" t="s">
        <v>3644</v>
      </c>
    </row>
    <row r="1382" spans="1:11" x14ac:dyDescent="0.25">
      <c r="A1382" s="21">
        <v>1370</v>
      </c>
      <c r="B1382" s="21">
        <v>74</v>
      </c>
      <c r="C1382" s="26" t="s">
        <v>3775</v>
      </c>
      <c r="D1382" s="20" t="s">
        <v>3776</v>
      </c>
      <c r="E1382" s="27" t="str">
        <f>T("貝貝熊咿呀學語系列----舊帽子，新帽子")</f>
        <v>貝貝熊咿呀學語系列----舊帽子，新帽子</v>
      </c>
      <c r="F1382" s="20" t="s">
        <v>1962</v>
      </c>
      <c r="G1382" s="20" t="str">
        <f t="shared" si="63"/>
        <v>新疆青少年</v>
      </c>
      <c r="H1382" s="20" t="str">
        <f t="shared" si="62"/>
        <v>20080101</v>
      </c>
      <c r="I1382" s="20">
        <v>6.8</v>
      </c>
      <c r="J1382" s="20">
        <v>41</v>
      </c>
      <c r="K1382" s="28" t="s">
        <v>3644</v>
      </c>
    </row>
    <row r="1383" spans="1:11" x14ac:dyDescent="0.25">
      <c r="A1383" s="21">
        <v>1371</v>
      </c>
      <c r="B1383" s="21">
        <v>75</v>
      </c>
      <c r="C1383" s="26" t="s">
        <v>3777</v>
      </c>
      <c r="D1383" s="20" t="s">
        <v>3778</v>
      </c>
      <c r="E1383" s="27" t="str">
        <f>T("貝貝熊咿呀學語系列----恐怖的老樹屋")</f>
        <v>貝貝熊咿呀學語系列----恐怖的老樹屋</v>
      </c>
      <c r="F1383" s="20" t="s">
        <v>1962</v>
      </c>
      <c r="G1383" s="20" t="str">
        <f t="shared" si="63"/>
        <v>新疆青少年</v>
      </c>
      <c r="H1383" s="20" t="str">
        <f t="shared" si="62"/>
        <v>20080101</v>
      </c>
      <c r="I1383" s="20">
        <v>8.8000000000000007</v>
      </c>
      <c r="J1383" s="20">
        <v>53</v>
      </c>
      <c r="K1383" s="28" t="s">
        <v>3644</v>
      </c>
    </row>
    <row r="1384" spans="1:11" x14ac:dyDescent="0.25">
      <c r="A1384" s="21">
        <v>1372</v>
      </c>
      <c r="B1384" s="21">
        <v>76</v>
      </c>
      <c r="C1384" s="26" t="s">
        <v>3779</v>
      </c>
      <c r="D1384" s="20" t="s">
        <v>3780</v>
      </c>
      <c r="E1384" s="27" t="str">
        <f>T("益智卡卡書系列-匹諾曹")</f>
        <v>益智卡卡書系列-匹諾曹</v>
      </c>
      <c r="F1384" s="20" t="s">
        <v>1962</v>
      </c>
      <c r="G1384" s="20" t="str">
        <f t="shared" si="63"/>
        <v>新疆青少年</v>
      </c>
      <c r="H1384" s="20" t="str">
        <f t="shared" si="62"/>
        <v>20080101</v>
      </c>
      <c r="I1384" s="20">
        <v>13.8</v>
      </c>
      <c r="J1384" s="20">
        <v>83</v>
      </c>
      <c r="K1384" s="28" t="s">
        <v>3644</v>
      </c>
    </row>
    <row r="1385" spans="1:11" x14ac:dyDescent="0.25">
      <c r="A1385" s="21">
        <v>1373</v>
      </c>
      <c r="B1385" s="21">
        <v>77</v>
      </c>
      <c r="C1385" s="26" t="s">
        <v>3781</v>
      </c>
      <c r="D1385" s="20" t="s">
        <v>3782</v>
      </c>
      <c r="E1385" s="27" t="str">
        <f>T("益智卡卡書系列-海的女兒")</f>
        <v>益智卡卡書系列-海的女兒</v>
      </c>
      <c r="F1385" s="20" t="s">
        <v>1962</v>
      </c>
      <c r="G1385" s="20" t="str">
        <f t="shared" si="63"/>
        <v>新疆青少年</v>
      </c>
      <c r="H1385" s="20" t="str">
        <f t="shared" si="62"/>
        <v>20080101</v>
      </c>
      <c r="I1385" s="20">
        <v>13.8</v>
      </c>
      <c r="J1385" s="20">
        <v>83</v>
      </c>
      <c r="K1385" s="28" t="s">
        <v>3644</v>
      </c>
    </row>
    <row r="1386" spans="1:11" x14ac:dyDescent="0.25">
      <c r="A1386" s="21">
        <v>1374</v>
      </c>
      <c r="B1386" s="21">
        <v>78</v>
      </c>
      <c r="C1386" s="26" t="s">
        <v>3783</v>
      </c>
      <c r="D1386" s="20" t="s">
        <v>3784</v>
      </c>
      <c r="E1386" s="27" t="str">
        <f>T("益智卡卡書系列-穿靴子的貓")</f>
        <v>益智卡卡書系列-穿靴子的貓</v>
      </c>
      <c r="F1386" s="20" t="s">
        <v>1962</v>
      </c>
      <c r="G1386" s="20" t="str">
        <f t="shared" si="63"/>
        <v>新疆青少年</v>
      </c>
      <c r="H1386" s="20" t="str">
        <f t="shared" si="62"/>
        <v>20080101</v>
      </c>
      <c r="I1386" s="20">
        <v>13.8</v>
      </c>
      <c r="J1386" s="20">
        <v>83</v>
      </c>
      <c r="K1386" s="28" t="s">
        <v>3644</v>
      </c>
    </row>
    <row r="1387" spans="1:11" x14ac:dyDescent="0.25">
      <c r="A1387" s="21">
        <v>1375</v>
      </c>
      <c r="B1387" s="21">
        <v>79</v>
      </c>
      <c r="C1387" s="26" t="s">
        <v>3785</v>
      </c>
      <c r="D1387" s="20" t="s">
        <v>3786</v>
      </c>
      <c r="E1387" s="27" t="str">
        <f>T("益智卡卡書系列-醜小鴨")</f>
        <v>益智卡卡書系列-醜小鴨</v>
      </c>
      <c r="F1387" s="20" t="s">
        <v>1962</v>
      </c>
      <c r="G1387" s="20" t="str">
        <f t="shared" si="63"/>
        <v>新疆青少年</v>
      </c>
      <c r="H1387" s="20" t="str">
        <f t="shared" si="62"/>
        <v>20080101</v>
      </c>
      <c r="I1387" s="20">
        <v>13.8</v>
      </c>
      <c r="J1387" s="20">
        <v>83</v>
      </c>
      <c r="K1387" s="28" t="s">
        <v>3644</v>
      </c>
    </row>
    <row r="1388" spans="1:11" x14ac:dyDescent="0.25">
      <c r="A1388" s="21">
        <v>1376</v>
      </c>
      <c r="B1388" s="21">
        <v>80</v>
      </c>
      <c r="C1388" s="26" t="s">
        <v>3787</v>
      </c>
      <c r="D1388" s="20" t="s">
        <v>3788</v>
      </c>
      <c r="E1388" s="27" t="str">
        <f>T("益智卡卡書系列-不萊梅的音樂家")</f>
        <v>益智卡卡書系列-不萊梅的音樂家</v>
      </c>
      <c r="F1388" s="20" t="s">
        <v>1962</v>
      </c>
      <c r="G1388" s="20" t="str">
        <f t="shared" si="63"/>
        <v>新疆青少年</v>
      </c>
      <c r="H1388" s="20" t="str">
        <f t="shared" ref="H1388:H1407" si="64">T("20080101")</f>
        <v>20080101</v>
      </c>
      <c r="I1388" s="20">
        <v>13.8</v>
      </c>
      <c r="J1388" s="20">
        <v>83</v>
      </c>
      <c r="K1388" s="28" t="s">
        <v>3644</v>
      </c>
    </row>
    <row r="1389" spans="1:11" x14ac:dyDescent="0.25">
      <c r="A1389" s="21">
        <v>1377</v>
      </c>
      <c r="B1389" s="21">
        <v>81</v>
      </c>
      <c r="C1389" s="26" t="s">
        <v>3789</v>
      </c>
      <c r="D1389" s="20" t="s">
        <v>3790</v>
      </c>
      <c r="E1389" s="27" t="str">
        <f>T("小鱷狼喜歡聖誕老人")</f>
        <v>小鱷狼喜歡聖誕老人</v>
      </c>
      <c r="F1389" s="20" t="s">
        <v>1962</v>
      </c>
      <c r="G1389" s="20" t="str">
        <f t="shared" si="63"/>
        <v>新疆青少年</v>
      </c>
      <c r="H1389" s="20" t="str">
        <f t="shared" si="64"/>
        <v>20080101</v>
      </c>
      <c r="I1389" s="20">
        <v>8</v>
      </c>
      <c r="J1389" s="20">
        <v>48</v>
      </c>
      <c r="K1389" s="28" t="s">
        <v>3644</v>
      </c>
    </row>
    <row r="1390" spans="1:11" x14ac:dyDescent="0.25">
      <c r="A1390" s="21">
        <v>1378</v>
      </c>
      <c r="B1390" s="21">
        <v>82</v>
      </c>
      <c r="C1390" s="26" t="s">
        <v>3791</v>
      </c>
      <c r="D1390" s="20" t="s">
        <v>3792</v>
      </c>
      <c r="E1390" s="27" t="str">
        <f>T("小鱷狼喜歡吃糕點")</f>
        <v>小鱷狼喜歡吃糕點</v>
      </c>
      <c r="F1390" s="20" t="s">
        <v>1962</v>
      </c>
      <c r="G1390" s="20" t="str">
        <f t="shared" si="63"/>
        <v>新疆青少年</v>
      </c>
      <c r="H1390" s="20" t="str">
        <f t="shared" si="64"/>
        <v>20080101</v>
      </c>
      <c r="I1390" s="20">
        <v>8</v>
      </c>
      <c r="J1390" s="20">
        <v>48</v>
      </c>
      <c r="K1390" s="28" t="s">
        <v>3644</v>
      </c>
    </row>
    <row r="1391" spans="1:11" x14ac:dyDescent="0.25">
      <c r="A1391" s="21">
        <v>1379</v>
      </c>
      <c r="B1391" s="21">
        <v>83</v>
      </c>
      <c r="C1391" s="26" t="s">
        <v>3793</v>
      </c>
      <c r="D1391" s="20" t="s">
        <v>3794</v>
      </c>
      <c r="E1391" s="27" t="str">
        <f>T("貝貝熊系列叢書(62)森林裡的幽靈")</f>
        <v>貝貝熊系列叢書(62)森林裡的幽靈</v>
      </c>
      <c r="F1391" s="20" t="s">
        <v>1962</v>
      </c>
      <c r="G1391" s="20" t="str">
        <f t="shared" si="63"/>
        <v>新疆青少年</v>
      </c>
      <c r="H1391" s="20" t="str">
        <f t="shared" si="64"/>
        <v>20080101</v>
      </c>
      <c r="I1391" s="20">
        <v>7.8</v>
      </c>
      <c r="J1391" s="20">
        <v>47</v>
      </c>
      <c r="K1391" s="28" t="s">
        <v>3644</v>
      </c>
    </row>
    <row r="1392" spans="1:11" x14ac:dyDescent="0.25">
      <c r="A1392" s="21">
        <v>1380</v>
      </c>
      <c r="B1392" s="21">
        <v>84</v>
      </c>
      <c r="C1392" s="26" t="s">
        <v>3795</v>
      </c>
      <c r="D1392" s="20" t="s">
        <v>3796</v>
      </c>
      <c r="E1392" s="27" t="str">
        <f>T("貝貝熊系列叢書(54)不給糖果就搗蛋")</f>
        <v>貝貝熊系列叢書(54)不給糖果就搗蛋</v>
      </c>
      <c r="F1392" s="20" t="s">
        <v>1962</v>
      </c>
      <c r="G1392" s="20" t="str">
        <f t="shared" si="63"/>
        <v>新疆青少年</v>
      </c>
      <c r="H1392" s="20" t="str">
        <f t="shared" si="64"/>
        <v>20080101</v>
      </c>
      <c r="I1392" s="20">
        <v>7.8</v>
      </c>
      <c r="J1392" s="20">
        <v>47</v>
      </c>
      <c r="K1392" s="28" t="s">
        <v>3644</v>
      </c>
    </row>
    <row r="1393" spans="1:11" x14ac:dyDescent="0.25">
      <c r="A1393" s="21">
        <v>1381</v>
      </c>
      <c r="B1393" s="21">
        <v>85</v>
      </c>
      <c r="C1393" s="26" t="s">
        <v>3797</v>
      </c>
      <c r="D1393" s="20" t="s">
        <v>3798</v>
      </c>
      <c r="E1393" s="27" t="str">
        <f>T("貝貝熊系列叢書(55)蜂蜜不見了")</f>
        <v>貝貝熊系列叢書(55)蜂蜜不見了</v>
      </c>
      <c r="F1393" s="20" t="s">
        <v>1962</v>
      </c>
      <c r="G1393" s="20" t="str">
        <f t="shared" ref="G1393:G1455" si="65">T("新疆青少年")</f>
        <v>新疆青少年</v>
      </c>
      <c r="H1393" s="20" t="str">
        <f t="shared" si="64"/>
        <v>20080101</v>
      </c>
      <c r="I1393" s="20">
        <v>7.8</v>
      </c>
      <c r="J1393" s="20">
        <v>47</v>
      </c>
      <c r="K1393" s="28" t="s">
        <v>3644</v>
      </c>
    </row>
    <row r="1394" spans="1:11" x14ac:dyDescent="0.25">
      <c r="A1394" s="21">
        <v>1382</v>
      </c>
      <c r="B1394" s="21">
        <v>86</v>
      </c>
      <c r="C1394" s="26" t="s">
        <v>3799</v>
      </c>
      <c r="D1394" s="20" t="s">
        <v>3800</v>
      </c>
      <c r="E1394" s="27" t="str">
        <f>T("貝貝熊系列叢書(61)去野營")</f>
        <v>貝貝熊系列叢書(61)去野營</v>
      </c>
      <c r="F1394" s="20" t="s">
        <v>1962</v>
      </c>
      <c r="G1394" s="20" t="str">
        <f t="shared" si="65"/>
        <v>新疆青少年</v>
      </c>
      <c r="H1394" s="20" t="str">
        <f t="shared" si="64"/>
        <v>20080101</v>
      </c>
      <c r="I1394" s="20">
        <v>7.8</v>
      </c>
      <c r="J1394" s="20">
        <v>47</v>
      </c>
      <c r="K1394" s="28" t="s">
        <v>3644</v>
      </c>
    </row>
    <row r="1395" spans="1:11" x14ac:dyDescent="0.25">
      <c r="A1395" s="21">
        <v>1383</v>
      </c>
      <c r="B1395" s="21">
        <v>87</v>
      </c>
      <c r="C1395" s="26" t="s">
        <v>3801</v>
      </c>
      <c r="D1395" s="20" t="s">
        <v>3802</v>
      </c>
      <c r="E1395" s="27" t="str">
        <f>T("貝貝熊系列叢書(51)安全第一")</f>
        <v>貝貝熊系列叢書(51)安全第一</v>
      </c>
      <c r="F1395" s="20" t="s">
        <v>1962</v>
      </c>
      <c r="G1395" s="20" t="str">
        <f t="shared" si="65"/>
        <v>新疆青少年</v>
      </c>
      <c r="H1395" s="20" t="str">
        <f t="shared" si="64"/>
        <v>20080101</v>
      </c>
      <c r="I1395" s="20">
        <v>7.8</v>
      </c>
      <c r="J1395" s="20">
        <v>47</v>
      </c>
      <c r="K1395" s="28" t="s">
        <v>3644</v>
      </c>
    </row>
    <row r="1396" spans="1:11" x14ac:dyDescent="0.25">
      <c r="A1396" s="21">
        <v>1384</v>
      </c>
      <c r="B1396" s="21">
        <v>88</v>
      </c>
      <c r="C1396" s="26" t="s">
        <v>3803</v>
      </c>
      <c r="D1396" s="20" t="s">
        <v>3804</v>
      </c>
      <c r="E1396" s="27" t="str">
        <f>T("貝貝熊系列叢書(67)新朋友")</f>
        <v>貝貝熊系列叢書(67)新朋友</v>
      </c>
      <c r="F1396" s="20" t="s">
        <v>1962</v>
      </c>
      <c r="G1396" s="20" t="str">
        <f t="shared" si="65"/>
        <v>新疆青少年</v>
      </c>
      <c r="H1396" s="20" t="str">
        <f t="shared" si="64"/>
        <v>20080101</v>
      </c>
      <c r="I1396" s="20">
        <v>7.8</v>
      </c>
      <c r="J1396" s="20">
        <v>47</v>
      </c>
      <c r="K1396" s="28" t="s">
        <v>3644</v>
      </c>
    </row>
    <row r="1397" spans="1:11" x14ac:dyDescent="0.25">
      <c r="A1397" s="21">
        <v>1385</v>
      </c>
      <c r="B1397" s="21">
        <v>89</v>
      </c>
      <c r="C1397" s="26" t="s">
        <v>3805</v>
      </c>
      <c r="D1397" s="20" t="s">
        <v>3806</v>
      </c>
      <c r="E1397" s="27" t="str">
        <f>T("貝貝熊系列叢書(64)我愛小金魚")</f>
        <v>貝貝熊系列叢書(64)我愛小金魚</v>
      </c>
      <c r="F1397" s="20" t="s">
        <v>1962</v>
      </c>
      <c r="G1397" s="20" t="str">
        <f t="shared" si="65"/>
        <v>新疆青少年</v>
      </c>
      <c r="H1397" s="20" t="str">
        <f t="shared" si="64"/>
        <v>20080101</v>
      </c>
      <c r="I1397" s="20">
        <v>7.8</v>
      </c>
      <c r="J1397" s="20">
        <v>47</v>
      </c>
      <c r="K1397" s="28" t="s">
        <v>3644</v>
      </c>
    </row>
    <row r="1398" spans="1:11" x14ac:dyDescent="0.25">
      <c r="A1398" s="21">
        <v>1386</v>
      </c>
      <c r="B1398" s="21">
        <v>90</v>
      </c>
      <c r="C1398" s="26" t="s">
        <v>3807</v>
      </c>
      <c r="D1398" s="20" t="s">
        <v>3808</v>
      </c>
      <c r="E1398" s="27" t="str">
        <f>T("貝貝熊系列叢書(56)父親節的驚喜")</f>
        <v>貝貝熊系列叢書(56)父親節的驚喜</v>
      </c>
      <c r="F1398" s="20" t="s">
        <v>1962</v>
      </c>
      <c r="G1398" s="20" t="str">
        <f t="shared" si="65"/>
        <v>新疆青少年</v>
      </c>
      <c r="H1398" s="20" t="str">
        <f t="shared" si="64"/>
        <v>20080101</v>
      </c>
      <c r="I1398" s="20">
        <v>7.8</v>
      </c>
      <c r="J1398" s="20">
        <v>47</v>
      </c>
      <c r="K1398" s="28" t="s">
        <v>3644</v>
      </c>
    </row>
    <row r="1399" spans="1:11" x14ac:dyDescent="0.25">
      <c r="A1399" s="21">
        <v>1387</v>
      </c>
      <c r="B1399" s="21">
        <v>91</v>
      </c>
      <c r="C1399" s="26" t="s">
        <v>3809</v>
      </c>
      <c r="D1399" s="20" t="s">
        <v>3810</v>
      </c>
      <c r="E1399" s="27" t="str">
        <f>T("貝貝熊系列叢書(69)意外的情人節")</f>
        <v>貝貝熊系列叢書(69)意外的情人節</v>
      </c>
      <c r="F1399" s="20" t="s">
        <v>1962</v>
      </c>
      <c r="G1399" s="20" t="str">
        <f t="shared" si="65"/>
        <v>新疆青少年</v>
      </c>
      <c r="H1399" s="20" t="str">
        <f t="shared" si="64"/>
        <v>20080101</v>
      </c>
      <c r="I1399" s="20">
        <v>7.8</v>
      </c>
      <c r="J1399" s="20">
        <v>47</v>
      </c>
      <c r="K1399" s="28" t="s">
        <v>3644</v>
      </c>
    </row>
    <row r="1400" spans="1:11" x14ac:dyDescent="0.25">
      <c r="A1400" s="21">
        <v>1388</v>
      </c>
      <c r="B1400" s="21">
        <v>92</v>
      </c>
      <c r="C1400" s="26" t="s">
        <v>3811</v>
      </c>
      <c r="D1400" s="20" t="s">
        <v>3812</v>
      </c>
      <c r="E1400" s="27" t="str">
        <f>T("貝貝熊系列叢書(70)鸚鵡學舌")</f>
        <v>貝貝熊系列叢書(70)鸚鵡學舌</v>
      </c>
      <c r="F1400" s="20" t="s">
        <v>1962</v>
      </c>
      <c r="G1400" s="20" t="str">
        <f t="shared" si="65"/>
        <v>新疆青少年</v>
      </c>
      <c r="H1400" s="20" t="str">
        <f t="shared" si="64"/>
        <v>20080101</v>
      </c>
      <c r="I1400" s="20">
        <v>7.8</v>
      </c>
      <c r="J1400" s="20">
        <v>47</v>
      </c>
      <c r="K1400" s="28" t="s">
        <v>3644</v>
      </c>
    </row>
    <row r="1401" spans="1:11" x14ac:dyDescent="0.25">
      <c r="A1401" s="21">
        <v>1389</v>
      </c>
      <c r="B1401" s="21">
        <v>93</v>
      </c>
      <c r="C1401" s="26" t="s">
        <v>3813</v>
      </c>
      <c r="D1401" s="20" t="s">
        <v>3814</v>
      </c>
      <c r="E1401" s="27" t="str">
        <f>T("貝貝熊系列叢書(65)我來幫幫你")</f>
        <v>貝貝熊系列叢書(65)我來幫幫你</v>
      </c>
      <c r="F1401" s="20" t="s">
        <v>1962</v>
      </c>
      <c r="G1401" s="20" t="str">
        <f t="shared" si="65"/>
        <v>新疆青少年</v>
      </c>
      <c r="H1401" s="20" t="str">
        <f t="shared" si="64"/>
        <v>20080101</v>
      </c>
      <c r="I1401" s="20">
        <v>7.8</v>
      </c>
      <c r="J1401" s="20">
        <v>47</v>
      </c>
      <c r="K1401" s="28" t="s">
        <v>3644</v>
      </c>
    </row>
    <row r="1402" spans="1:11" x14ac:dyDescent="0.25">
      <c r="A1402" s="21">
        <v>1390</v>
      </c>
      <c r="B1402" s="21">
        <v>94</v>
      </c>
      <c r="C1402" s="26" t="s">
        <v>3815</v>
      </c>
      <c r="D1402" s="20" t="s">
        <v>3816</v>
      </c>
      <c r="E1402" s="27" t="str">
        <f>T("貝貝熊系列叢書(52)愛上足球")</f>
        <v>貝貝熊系列叢書(52)愛上足球</v>
      </c>
      <c r="F1402" s="20" t="s">
        <v>1962</v>
      </c>
      <c r="G1402" s="20" t="str">
        <f t="shared" si="65"/>
        <v>新疆青少年</v>
      </c>
      <c r="H1402" s="20" t="str">
        <f t="shared" si="64"/>
        <v>20080101</v>
      </c>
      <c r="I1402" s="20">
        <v>7.8</v>
      </c>
      <c r="J1402" s="20">
        <v>47</v>
      </c>
      <c r="K1402" s="28" t="s">
        <v>3644</v>
      </c>
    </row>
    <row r="1403" spans="1:11" x14ac:dyDescent="0.25">
      <c r="A1403" s="21">
        <v>1391</v>
      </c>
      <c r="B1403" s="21">
        <v>95</v>
      </c>
      <c r="C1403" s="26" t="s">
        <v>3817</v>
      </c>
      <c r="D1403" s="20" t="s">
        <v>3818</v>
      </c>
      <c r="E1403" s="27" t="str">
        <f>T("貝貝熊系列叢書(63)誰的錯")</f>
        <v>貝貝熊系列叢書(63)誰的錯</v>
      </c>
      <c r="F1403" s="20" t="s">
        <v>1962</v>
      </c>
      <c r="G1403" s="20" t="str">
        <f t="shared" si="65"/>
        <v>新疆青少年</v>
      </c>
      <c r="H1403" s="20" t="str">
        <f t="shared" si="64"/>
        <v>20080101</v>
      </c>
      <c r="I1403" s="20">
        <v>7.8</v>
      </c>
      <c r="J1403" s="20">
        <v>47</v>
      </c>
      <c r="K1403" s="28" t="s">
        <v>3644</v>
      </c>
    </row>
    <row r="1404" spans="1:11" x14ac:dyDescent="0.25">
      <c r="A1404" s="21">
        <v>1392</v>
      </c>
      <c r="B1404" s="21">
        <v>96</v>
      </c>
      <c r="C1404" s="26" t="s">
        <v>3819</v>
      </c>
      <c r="D1404" s="20" t="s">
        <v>3820</v>
      </c>
      <c r="E1404" s="27" t="str">
        <f>T("貝貝熊系列叢書(58)臨時媽媽")</f>
        <v>貝貝熊系列叢書(58)臨時媽媽</v>
      </c>
      <c r="F1404" s="20" t="s">
        <v>1962</v>
      </c>
      <c r="G1404" s="20" t="str">
        <f t="shared" si="65"/>
        <v>新疆青少年</v>
      </c>
      <c r="H1404" s="20" t="str">
        <f t="shared" si="64"/>
        <v>20080101</v>
      </c>
      <c r="I1404" s="20">
        <v>7.8</v>
      </c>
      <c r="J1404" s="20">
        <v>47</v>
      </c>
      <c r="K1404" s="28" t="s">
        <v>3644</v>
      </c>
    </row>
    <row r="1405" spans="1:11" x14ac:dyDescent="0.25">
      <c r="A1405" s="21">
        <v>1393</v>
      </c>
      <c r="B1405" s="21">
        <v>97</v>
      </c>
      <c r="C1405" s="26" t="s">
        <v>3821</v>
      </c>
      <c r="D1405" s="20" t="s">
        <v>3822</v>
      </c>
      <c r="E1405" s="27" t="str">
        <f>T("貝貝熊系列叢書(68)熊王國的工作")</f>
        <v>貝貝熊系列叢書(68)熊王國的工作</v>
      </c>
      <c r="F1405" s="20" t="s">
        <v>1962</v>
      </c>
      <c r="G1405" s="20" t="str">
        <f t="shared" si="65"/>
        <v>新疆青少年</v>
      </c>
      <c r="H1405" s="20" t="str">
        <f t="shared" si="64"/>
        <v>20080101</v>
      </c>
      <c r="I1405" s="20">
        <v>7.8</v>
      </c>
      <c r="J1405" s="20">
        <v>47</v>
      </c>
      <c r="K1405" s="28" t="s">
        <v>3644</v>
      </c>
    </row>
    <row r="1406" spans="1:11" x14ac:dyDescent="0.25">
      <c r="A1406" s="21">
        <v>1394</v>
      </c>
      <c r="B1406" s="21">
        <v>98</v>
      </c>
      <c r="C1406" s="26" t="s">
        <v>3823</v>
      </c>
      <c r="D1406" s="20" t="s">
        <v>3824</v>
      </c>
      <c r="E1406" s="27" t="str">
        <f>T("貝貝熊系列叢書(53)棒球選拔賽")</f>
        <v>貝貝熊系列叢書(53)棒球選拔賽</v>
      </c>
      <c r="F1406" s="20" t="s">
        <v>1962</v>
      </c>
      <c r="G1406" s="20" t="str">
        <f t="shared" si="65"/>
        <v>新疆青少年</v>
      </c>
      <c r="H1406" s="20" t="str">
        <f t="shared" si="64"/>
        <v>20080101</v>
      </c>
      <c r="I1406" s="20">
        <v>7.8</v>
      </c>
      <c r="J1406" s="20">
        <v>47</v>
      </c>
      <c r="K1406" s="28" t="s">
        <v>3644</v>
      </c>
    </row>
    <row r="1407" spans="1:11" x14ac:dyDescent="0.25">
      <c r="A1407" s="21">
        <v>1395</v>
      </c>
      <c r="B1407" s="21">
        <v>99</v>
      </c>
      <c r="C1407" s="26" t="s">
        <v>3825</v>
      </c>
      <c r="D1407" s="20" t="s">
        <v>3826</v>
      </c>
      <c r="E1407" s="27" t="str">
        <f>T("貝貝熊系列叢書(60)鬧彆扭")</f>
        <v>貝貝熊系列叢書(60)鬧彆扭</v>
      </c>
      <c r="F1407" s="20" t="s">
        <v>1962</v>
      </c>
      <c r="G1407" s="20" t="str">
        <f t="shared" si="65"/>
        <v>新疆青少年</v>
      </c>
      <c r="H1407" s="20" t="str">
        <f t="shared" si="64"/>
        <v>20080101</v>
      </c>
      <c r="I1407" s="20">
        <v>7.8</v>
      </c>
      <c r="J1407" s="20">
        <v>47</v>
      </c>
      <c r="K1407" s="28" t="s">
        <v>3644</v>
      </c>
    </row>
    <row r="1408" spans="1:11" x14ac:dyDescent="0.25">
      <c r="A1408" s="21">
        <v>1396</v>
      </c>
      <c r="B1408" s="21">
        <v>100</v>
      </c>
      <c r="C1408" s="26" t="s">
        <v>3827</v>
      </c>
      <c r="D1408" s="20" t="s">
        <v>3828</v>
      </c>
      <c r="E1408" s="27" t="str">
        <f>T("貝貝熊-海邊假期")</f>
        <v>貝貝熊-海邊假期</v>
      </c>
      <c r="F1408" s="20" t="s">
        <v>1962</v>
      </c>
      <c r="G1408" s="20" t="str">
        <f t="shared" si="65"/>
        <v>新疆青少年</v>
      </c>
      <c r="H1408" s="20" t="str">
        <f>T("")</f>
        <v/>
      </c>
      <c r="I1408" s="20">
        <v>7.8</v>
      </c>
      <c r="J1408" s="20">
        <v>47</v>
      </c>
      <c r="K1408" s="28" t="s">
        <v>3644</v>
      </c>
    </row>
    <row r="1409" spans="1:11" x14ac:dyDescent="0.25">
      <c r="A1409" s="21">
        <v>1397</v>
      </c>
      <c r="B1409" s="21">
        <v>101</v>
      </c>
      <c r="C1409" s="26" t="s">
        <v>3829</v>
      </c>
      <c r="D1409" s="20" t="s">
        <v>3830</v>
      </c>
      <c r="E1409" s="27" t="str">
        <f>T("貝貝熊開心父子系列----小熊童子軍")</f>
        <v>貝貝熊開心父子系列----小熊童子軍</v>
      </c>
      <c r="F1409" s="20" t="s">
        <v>1962</v>
      </c>
      <c r="G1409" s="20" t="str">
        <f t="shared" si="65"/>
        <v>新疆青少年</v>
      </c>
      <c r="H1409" s="20" t="str">
        <f t="shared" ref="H1409:H1426" si="66">T("20080101")</f>
        <v>20080101</v>
      </c>
      <c r="I1409" s="20">
        <v>12</v>
      </c>
      <c r="J1409" s="20">
        <v>72</v>
      </c>
      <c r="K1409" s="28" t="s">
        <v>3644</v>
      </c>
    </row>
    <row r="1410" spans="1:11" x14ac:dyDescent="0.25">
      <c r="A1410" s="21">
        <v>1398</v>
      </c>
      <c r="B1410" s="21">
        <v>102</v>
      </c>
      <c r="C1410" s="26" t="s">
        <v>3831</v>
      </c>
      <c r="D1410" s="20" t="s">
        <v>3832</v>
      </c>
      <c r="E1410" s="27" t="str">
        <f>T("貝貝熊咿呀學語系列----小熊在夜裡")</f>
        <v>貝貝熊咿呀學語系列----小熊在夜裡</v>
      </c>
      <c r="F1410" s="20" t="s">
        <v>1962</v>
      </c>
      <c r="G1410" s="20" t="str">
        <f t="shared" si="65"/>
        <v>新疆青少年</v>
      </c>
      <c r="H1410" s="20" t="str">
        <f t="shared" si="66"/>
        <v>20080101</v>
      </c>
      <c r="I1410" s="20">
        <v>7.5</v>
      </c>
      <c r="J1410" s="20">
        <v>45</v>
      </c>
      <c r="K1410" s="28" t="s">
        <v>3644</v>
      </c>
    </row>
    <row r="1411" spans="1:11" x14ac:dyDescent="0.25">
      <c r="A1411" s="21">
        <v>1399</v>
      </c>
      <c r="B1411" s="21">
        <v>103</v>
      </c>
      <c r="C1411" s="26" t="s">
        <v>3833</v>
      </c>
      <c r="D1411" s="20" t="s">
        <v>3834</v>
      </c>
      <c r="E1411" s="27" t="str">
        <f>T("貝貝熊咿呀學語系列----裡面外面倒過來")</f>
        <v>貝貝熊咿呀學語系列----裡面外面倒過來</v>
      </c>
      <c r="F1411" s="20" t="s">
        <v>1962</v>
      </c>
      <c r="G1411" s="20" t="str">
        <f t="shared" si="65"/>
        <v>新疆青少年</v>
      </c>
      <c r="H1411" s="20" t="str">
        <f t="shared" si="66"/>
        <v>20080101</v>
      </c>
      <c r="I1411" s="20">
        <v>6.8</v>
      </c>
      <c r="J1411" s="20">
        <v>41</v>
      </c>
      <c r="K1411" s="28" t="s">
        <v>3644</v>
      </c>
    </row>
    <row r="1412" spans="1:11" x14ac:dyDescent="0.25">
      <c r="A1412" s="21">
        <v>1400</v>
      </c>
      <c r="B1412" s="21">
        <v>104</v>
      </c>
      <c r="C1412" s="26" t="s">
        <v>3835</v>
      </c>
      <c r="D1412" s="20" t="s">
        <v>3836</v>
      </c>
      <c r="E1412" s="27" t="str">
        <f>T("貝貝熊咿呀學語系列----去月球")</f>
        <v>貝貝熊咿呀學語系列----去月球</v>
      </c>
      <c r="F1412" s="20" t="s">
        <v>1962</v>
      </c>
      <c r="G1412" s="20" t="str">
        <f t="shared" si="65"/>
        <v>新疆青少年</v>
      </c>
      <c r="H1412" s="20" t="str">
        <f t="shared" si="66"/>
        <v>20080101</v>
      </c>
      <c r="I1412" s="20">
        <v>8.8000000000000007</v>
      </c>
      <c r="J1412" s="20">
        <v>53</v>
      </c>
      <c r="K1412" s="28" t="s">
        <v>3644</v>
      </c>
    </row>
    <row r="1413" spans="1:11" x14ac:dyDescent="0.25">
      <c r="A1413" s="21">
        <v>1401</v>
      </c>
      <c r="B1413" s="21">
        <v>105</v>
      </c>
      <c r="C1413" s="26" t="s">
        <v>3837</v>
      </c>
      <c r="D1413" s="20" t="s">
        <v>3838</v>
      </c>
      <c r="E1413" s="27" t="str">
        <f>T("貝貝熊咿呀學語系列----他和她")</f>
        <v>貝貝熊咿呀學語系列----他和她</v>
      </c>
      <c r="F1413" s="20" t="s">
        <v>1962</v>
      </c>
      <c r="G1413" s="20" t="str">
        <f t="shared" si="65"/>
        <v>新疆青少年</v>
      </c>
      <c r="H1413" s="20" t="str">
        <f t="shared" si="66"/>
        <v>20080101</v>
      </c>
      <c r="I1413" s="20">
        <v>8</v>
      </c>
      <c r="J1413" s="20">
        <v>48</v>
      </c>
      <c r="K1413" s="28" t="s">
        <v>3644</v>
      </c>
    </row>
    <row r="1414" spans="1:11" x14ac:dyDescent="0.25">
      <c r="A1414" s="21">
        <v>1402</v>
      </c>
      <c r="B1414" s="21">
        <v>106</v>
      </c>
      <c r="C1414" s="26" t="s">
        <v>3839</v>
      </c>
      <c r="D1414" s="20" t="s">
        <v>3840</v>
      </c>
      <c r="E1414" s="27" t="str">
        <f>T("貝貝熊咿呀學語系列----車輪上的熊")</f>
        <v>貝貝熊咿呀學語系列----車輪上的熊</v>
      </c>
      <c r="F1414" s="20" t="s">
        <v>1962</v>
      </c>
      <c r="G1414" s="20" t="str">
        <f t="shared" si="65"/>
        <v>新疆青少年</v>
      </c>
      <c r="H1414" s="20" t="str">
        <f t="shared" si="66"/>
        <v>20080101</v>
      </c>
      <c r="I1414" s="20">
        <v>7.5</v>
      </c>
      <c r="J1414" s="20">
        <v>45</v>
      </c>
      <c r="K1414" s="28" t="s">
        <v>3644</v>
      </c>
    </row>
    <row r="1415" spans="1:11" x14ac:dyDescent="0.25">
      <c r="A1415" s="21">
        <v>1403</v>
      </c>
      <c r="B1415" s="21">
        <v>107</v>
      </c>
      <c r="C1415" s="26" t="s">
        <v>3841</v>
      </c>
      <c r="D1415" s="20" t="s">
        <v>3842</v>
      </c>
      <c r="E1415" s="27" t="str">
        <f>T("貝貝熊咿呀學語系列----恐龍骨頭不見了")</f>
        <v>貝貝熊咿呀學語系列----恐龍骨頭不見了</v>
      </c>
      <c r="F1415" s="20" t="s">
        <v>1962</v>
      </c>
      <c r="G1415" s="20" t="str">
        <f t="shared" si="65"/>
        <v>新疆青少年</v>
      </c>
      <c r="H1415" s="20" t="str">
        <f t="shared" si="66"/>
        <v>20080101</v>
      </c>
      <c r="I1415" s="20">
        <v>8.8000000000000007</v>
      </c>
      <c r="J1415" s="20">
        <v>53</v>
      </c>
      <c r="K1415" s="28" t="s">
        <v>3644</v>
      </c>
    </row>
    <row r="1416" spans="1:11" x14ac:dyDescent="0.25">
      <c r="A1416" s="21">
        <v>1404</v>
      </c>
      <c r="B1416" s="21">
        <v>108</v>
      </c>
      <c r="C1416" s="26" t="s">
        <v>3843</v>
      </c>
      <c r="D1416" s="20" t="s">
        <v>3844</v>
      </c>
      <c r="E1416" s="27" t="str">
        <f>T("貝貝熊開心父子系列----尋找蜂蜜")</f>
        <v>貝貝熊開心父子系列----尋找蜂蜜</v>
      </c>
      <c r="F1416" s="20" t="s">
        <v>1962</v>
      </c>
      <c r="G1416" s="20" t="str">
        <f t="shared" si="65"/>
        <v>新疆青少年</v>
      </c>
      <c r="H1416" s="20" t="str">
        <f t="shared" si="66"/>
        <v>20080101</v>
      </c>
      <c r="I1416" s="20">
        <v>12</v>
      </c>
      <c r="J1416" s="20">
        <v>72</v>
      </c>
      <c r="K1416" s="28" t="s">
        <v>3644</v>
      </c>
    </row>
    <row r="1417" spans="1:11" x14ac:dyDescent="0.25">
      <c r="A1417" s="21">
        <v>1405</v>
      </c>
      <c r="B1417" s="21">
        <v>109</v>
      </c>
      <c r="C1417" s="26" t="s">
        <v>3845</v>
      </c>
      <c r="D1417" s="20" t="s">
        <v>3846</v>
      </c>
      <c r="E1417" s="27" t="str">
        <f>T("貝貝熊開心父子系列----學騎車")</f>
        <v>貝貝熊開心父子系列----學騎車</v>
      </c>
      <c r="F1417" s="20" t="s">
        <v>1962</v>
      </c>
      <c r="G1417" s="20" t="str">
        <f t="shared" si="65"/>
        <v>新疆青少年</v>
      </c>
      <c r="H1417" s="20" t="str">
        <f t="shared" si="66"/>
        <v>20080101</v>
      </c>
      <c r="I1417" s="20">
        <v>12</v>
      </c>
      <c r="J1417" s="20">
        <v>72</v>
      </c>
      <c r="K1417" s="28" t="s">
        <v>3644</v>
      </c>
    </row>
    <row r="1418" spans="1:11" x14ac:dyDescent="0.25">
      <c r="A1418" s="21">
        <v>1406</v>
      </c>
      <c r="B1418" s="21">
        <v>110</v>
      </c>
      <c r="C1418" s="26" t="s">
        <v>3847</v>
      </c>
      <c r="D1418" s="20" t="s">
        <v>3848</v>
      </c>
      <c r="E1418" s="27" t="str">
        <f>T("大師筆端的天使─老舍、冰心")</f>
        <v>大師筆端的天使─老舍、冰心</v>
      </c>
      <c r="F1418" s="20" t="s">
        <v>1962</v>
      </c>
      <c r="G1418" s="20" t="str">
        <f t="shared" si="65"/>
        <v>新疆青少年</v>
      </c>
      <c r="H1418" s="20" t="str">
        <f t="shared" si="66"/>
        <v>20080101</v>
      </c>
      <c r="I1418" s="20">
        <v>19.8</v>
      </c>
      <c r="J1418" s="20">
        <v>119</v>
      </c>
      <c r="K1418" s="28" t="s">
        <v>3644</v>
      </c>
    </row>
    <row r="1419" spans="1:11" x14ac:dyDescent="0.25">
      <c r="A1419" s="21">
        <v>1407</v>
      </c>
      <c r="B1419" s="21">
        <v>111</v>
      </c>
      <c r="C1419" s="26" t="s">
        <v>3849</v>
      </c>
      <c r="D1419" s="20" t="s">
        <v>3850</v>
      </c>
      <c r="E1419" s="27" t="str">
        <f>T("動物小鎮下雪了")</f>
        <v>動物小鎮下雪了</v>
      </c>
      <c r="F1419" s="20" t="s">
        <v>1962</v>
      </c>
      <c r="G1419" s="20" t="str">
        <f t="shared" si="65"/>
        <v>新疆青少年</v>
      </c>
      <c r="H1419" s="20" t="str">
        <f t="shared" si="66"/>
        <v>20080101</v>
      </c>
      <c r="I1419" s="20">
        <v>26</v>
      </c>
      <c r="J1419" s="20">
        <v>156</v>
      </c>
      <c r="K1419" s="28" t="s">
        <v>3644</v>
      </c>
    </row>
    <row r="1420" spans="1:11" x14ac:dyDescent="0.25">
      <c r="A1420" s="21">
        <v>1408</v>
      </c>
      <c r="B1420" s="21">
        <v>112</v>
      </c>
      <c r="C1420" s="26" t="s">
        <v>3851</v>
      </c>
      <c r="D1420" s="20" t="s">
        <v>3852</v>
      </c>
      <c r="E1420" s="27" t="str">
        <f>T("小鎮動物去旅行")</f>
        <v>小鎮動物去旅行</v>
      </c>
      <c r="F1420" s="20" t="s">
        <v>1962</v>
      </c>
      <c r="G1420" s="20" t="str">
        <f t="shared" si="65"/>
        <v>新疆青少年</v>
      </c>
      <c r="H1420" s="20" t="str">
        <f t="shared" si="66"/>
        <v>20080101</v>
      </c>
      <c r="I1420" s="20">
        <v>26</v>
      </c>
      <c r="J1420" s="20">
        <v>156</v>
      </c>
      <c r="K1420" s="28" t="s">
        <v>3644</v>
      </c>
    </row>
    <row r="1421" spans="1:11" x14ac:dyDescent="0.25">
      <c r="A1421" s="21">
        <v>1409</v>
      </c>
      <c r="B1421" s="21">
        <v>113</v>
      </c>
      <c r="C1421" s="26" t="s">
        <v>3853</v>
      </c>
      <c r="D1421" s="20" t="s">
        <v>3854</v>
      </c>
      <c r="E1421" s="27" t="str">
        <f>T("迷宮裡的牛頭怪")</f>
        <v>迷宮裡的牛頭怪</v>
      </c>
      <c r="F1421" s="20" t="s">
        <v>1962</v>
      </c>
      <c r="G1421" s="20" t="str">
        <f t="shared" si="65"/>
        <v>新疆青少年</v>
      </c>
      <c r="H1421" s="20" t="str">
        <f t="shared" si="66"/>
        <v>20080101</v>
      </c>
      <c r="I1421" s="20">
        <v>16</v>
      </c>
      <c r="J1421" s="20">
        <v>96</v>
      </c>
      <c r="K1421" s="28" t="s">
        <v>3644</v>
      </c>
    </row>
    <row r="1422" spans="1:11" x14ac:dyDescent="0.25">
      <c r="A1422" s="21">
        <v>1410</v>
      </c>
      <c r="B1422" s="21">
        <v>114</v>
      </c>
      <c r="C1422" s="26" t="s">
        <v>3855</v>
      </c>
      <c r="D1422" s="20" t="s">
        <v>3856</v>
      </c>
      <c r="E1422" s="27" t="str">
        <f>T("神秘的吹笛人")</f>
        <v>神秘的吹笛人</v>
      </c>
      <c r="F1422" s="20" t="s">
        <v>1962</v>
      </c>
      <c r="G1422" s="20" t="str">
        <f t="shared" si="65"/>
        <v>新疆青少年</v>
      </c>
      <c r="H1422" s="20" t="str">
        <f t="shared" si="66"/>
        <v>20080101</v>
      </c>
      <c r="I1422" s="20">
        <v>16</v>
      </c>
      <c r="J1422" s="20">
        <v>96</v>
      </c>
      <c r="K1422" s="28" t="s">
        <v>3644</v>
      </c>
    </row>
    <row r="1423" spans="1:11" x14ac:dyDescent="0.25">
      <c r="A1423" s="21">
        <v>1411</v>
      </c>
      <c r="B1423" s="21">
        <v>115</v>
      </c>
      <c r="C1423" s="26" t="s">
        <v>3857</v>
      </c>
      <c r="D1423" s="20" t="s">
        <v>3858</v>
      </c>
      <c r="E1423" s="27" t="str">
        <f>T("葛翠琳作品賞析叢書(野葡萄)")</f>
        <v>葛翠琳作品賞析叢書(野葡萄)</v>
      </c>
      <c r="F1423" s="20" t="s">
        <v>1962</v>
      </c>
      <c r="G1423" s="20" t="str">
        <f t="shared" si="65"/>
        <v>新疆青少年</v>
      </c>
      <c r="H1423" s="20" t="str">
        <f t="shared" si="66"/>
        <v>20080101</v>
      </c>
      <c r="I1423" s="20">
        <v>18</v>
      </c>
      <c r="J1423" s="20">
        <v>108</v>
      </c>
      <c r="K1423" s="28" t="s">
        <v>3644</v>
      </c>
    </row>
    <row r="1424" spans="1:11" x14ac:dyDescent="0.25">
      <c r="A1424" s="21">
        <v>1412</v>
      </c>
      <c r="B1424" s="21">
        <v>116</v>
      </c>
      <c r="C1424" s="26" t="s">
        <v>3859</v>
      </c>
      <c r="D1424" s="20" t="s">
        <v>3860</v>
      </c>
      <c r="E1424" s="27" t="str">
        <f>T("葛翠琳作品賞析叢書(飛上天的魚)")</f>
        <v>葛翠琳作品賞析叢書(飛上天的魚)</v>
      </c>
      <c r="F1424" s="20" t="s">
        <v>1962</v>
      </c>
      <c r="G1424" s="20" t="str">
        <f t="shared" si="65"/>
        <v>新疆青少年</v>
      </c>
      <c r="H1424" s="20" t="str">
        <f t="shared" si="66"/>
        <v>20080101</v>
      </c>
      <c r="I1424" s="20">
        <v>18</v>
      </c>
      <c r="J1424" s="20">
        <v>108</v>
      </c>
      <c r="K1424" s="28" t="s">
        <v>3644</v>
      </c>
    </row>
    <row r="1425" spans="1:11" x14ac:dyDescent="0.25">
      <c r="A1425" s="21">
        <v>1413</v>
      </c>
      <c r="B1425" s="21">
        <v>117</v>
      </c>
      <c r="C1425" s="26" t="s">
        <v>3861</v>
      </c>
      <c r="D1425" s="20" t="s">
        <v>3862</v>
      </c>
      <c r="E1425" s="27" t="str">
        <f>T("洪汛濤作品賞析叢書(神筆馬良)")</f>
        <v>洪汛濤作品賞析叢書(神筆馬良)</v>
      </c>
      <c r="F1425" s="20" t="s">
        <v>1962</v>
      </c>
      <c r="G1425" s="20" t="str">
        <f t="shared" si="65"/>
        <v>新疆青少年</v>
      </c>
      <c r="H1425" s="20" t="str">
        <f t="shared" si="66"/>
        <v>20080101</v>
      </c>
      <c r="I1425" s="20">
        <v>28</v>
      </c>
      <c r="J1425" s="20">
        <v>168</v>
      </c>
      <c r="K1425" s="28" t="s">
        <v>3644</v>
      </c>
    </row>
    <row r="1426" spans="1:11" x14ac:dyDescent="0.25">
      <c r="A1426" s="21">
        <v>1414</v>
      </c>
      <c r="B1426" s="21">
        <v>118</v>
      </c>
      <c r="C1426" s="26" t="s">
        <v>3863</v>
      </c>
      <c r="D1426" s="20" t="s">
        <v>3864</v>
      </c>
      <c r="E1426" s="27" t="str">
        <f>T("漫話職場西游")</f>
        <v>漫話職場西游</v>
      </c>
      <c r="F1426" s="20" t="s">
        <v>1962</v>
      </c>
      <c r="G1426" s="20" t="str">
        <f t="shared" si="65"/>
        <v>新疆青少年</v>
      </c>
      <c r="H1426" s="20" t="str">
        <f t="shared" si="66"/>
        <v>20080101</v>
      </c>
      <c r="I1426" s="20">
        <v>32</v>
      </c>
      <c r="J1426" s="20">
        <v>192</v>
      </c>
      <c r="K1426" s="28" t="s">
        <v>3644</v>
      </c>
    </row>
    <row r="1427" spans="1:11" x14ac:dyDescent="0.25">
      <c r="A1427" s="21">
        <v>1415</v>
      </c>
      <c r="B1427" s="21">
        <v>119</v>
      </c>
      <c r="C1427" s="26" t="s">
        <v>3865</v>
      </c>
      <c r="D1427" s="20" t="s">
        <v>3866</v>
      </c>
      <c r="E1427" s="27" t="str">
        <f>T("貝貝熊系列-小小足球星")</f>
        <v>貝貝熊系列-小小足球星</v>
      </c>
      <c r="F1427" s="20" t="s">
        <v>1962</v>
      </c>
      <c r="G1427" s="20" t="str">
        <f t="shared" si="65"/>
        <v>新疆青少年</v>
      </c>
      <c r="H1427" s="20" t="str">
        <f>T("20121127")</f>
        <v>20121127</v>
      </c>
      <c r="I1427" s="20">
        <v>8</v>
      </c>
      <c r="J1427" s="20">
        <v>48</v>
      </c>
      <c r="K1427" s="28" t="s">
        <v>3644</v>
      </c>
    </row>
    <row r="1428" spans="1:11" x14ac:dyDescent="0.25">
      <c r="A1428" s="21">
        <v>1416</v>
      </c>
      <c r="B1428" s="21">
        <v>120</v>
      </c>
      <c r="C1428" s="26" t="s">
        <v>3867</v>
      </c>
      <c r="D1428" s="20" t="s">
        <v>3868</v>
      </c>
      <c r="E1428" s="27" t="str">
        <f>T("貝貝熊系列-燈塔鬧鬼記")</f>
        <v>貝貝熊系列-燈塔鬧鬼記</v>
      </c>
      <c r="F1428" s="20" t="s">
        <v>1962</v>
      </c>
      <c r="G1428" s="20" t="str">
        <f t="shared" si="65"/>
        <v>新疆青少年</v>
      </c>
      <c r="H1428" s="20" t="str">
        <f>T("20121127")</f>
        <v>20121127</v>
      </c>
      <c r="I1428" s="20">
        <v>8</v>
      </c>
      <c r="J1428" s="20">
        <v>48</v>
      </c>
      <c r="K1428" s="28" t="s">
        <v>3644</v>
      </c>
    </row>
    <row r="1429" spans="1:11" x14ac:dyDescent="0.25">
      <c r="A1429" s="21">
        <v>1417</v>
      </c>
      <c r="B1429" s="21">
        <v>121</v>
      </c>
      <c r="C1429" s="26" t="s">
        <v>3869</v>
      </c>
      <c r="D1429" s="20" t="s">
        <v>3870</v>
      </c>
      <c r="E1429" s="27" t="str">
        <f>T("貝貝熊系列-超級狗狗秀")</f>
        <v>貝貝熊系列-超級狗狗秀</v>
      </c>
      <c r="F1429" s="20" t="s">
        <v>1962</v>
      </c>
      <c r="G1429" s="20" t="str">
        <f t="shared" si="65"/>
        <v>新疆青少年</v>
      </c>
      <c r="H1429" s="20" t="str">
        <f>T("20121127")</f>
        <v>20121127</v>
      </c>
      <c r="I1429" s="20">
        <v>8</v>
      </c>
      <c r="J1429" s="20">
        <v>48</v>
      </c>
      <c r="K1429" s="28" t="s">
        <v>3644</v>
      </c>
    </row>
    <row r="1430" spans="1:11" x14ac:dyDescent="0.25">
      <c r="A1430" s="21">
        <v>1418</v>
      </c>
      <c r="B1430" s="21">
        <v>122</v>
      </c>
      <c r="C1430" s="26" t="s">
        <v>3871</v>
      </c>
      <c r="D1430" s="20" t="s">
        <v>3872</v>
      </c>
      <c r="E1430" s="27" t="str">
        <f>T("貝貝熊系列-拜拜壞小子")</f>
        <v>貝貝熊系列-拜拜壞小子</v>
      </c>
      <c r="F1430" s="20" t="s">
        <v>1962</v>
      </c>
      <c r="G1430" s="20" t="str">
        <f t="shared" si="65"/>
        <v>新疆青少年</v>
      </c>
      <c r="H1430" s="20" t="str">
        <f>T("")</f>
        <v/>
      </c>
      <c r="I1430" s="20">
        <v>8</v>
      </c>
      <c r="J1430" s="20">
        <v>48</v>
      </c>
      <c r="K1430" s="28" t="s">
        <v>3644</v>
      </c>
    </row>
    <row r="1431" spans="1:11" x14ac:dyDescent="0.25">
      <c r="A1431" s="21">
        <v>1419</v>
      </c>
      <c r="B1431" s="21">
        <v>123</v>
      </c>
      <c r="C1431" s="26" t="s">
        <v>3873</v>
      </c>
      <c r="D1431" s="20" t="s">
        <v>3874</v>
      </c>
      <c r="E1431" s="27" t="str">
        <f>T("貝貝熊系列-呆呆傻傻熊")</f>
        <v>貝貝熊系列-呆呆傻傻熊</v>
      </c>
      <c r="F1431" s="20" t="s">
        <v>1962</v>
      </c>
      <c r="G1431" s="20" t="str">
        <f t="shared" si="65"/>
        <v>新疆青少年</v>
      </c>
      <c r="H1431" s="20" t="str">
        <f>T("20121127")</f>
        <v>20121127</v>
      </c>
      <c r="I1431" s="20">
        <v>8</v>
      </c>
      <c r="J1431" s="20">
        <v>48</v>
      </c>
      <c r="K1431" s="28" t="s">
        <v>3644</v>
      </c>
    </row>
    <row r="1432" spans="1:11" x14ac:dyDescent="0.25">
      <c r="A1432" s="21">
        <v>1420</v>
      </c>
      <c r="B1432" s="21">
        <v>124</v>
      </c>
      <c r="C1432" s="26" t="s">
        <v>3875</v>
      </c>
      <c r="D1432" s="20" t="s">
        <v>3876</v>
      </c>
      <c r="E1432" s="27" t="str">
        <f>T("森林報(一套四冊)")</f>
        <v>森林報(一套四冊)</v>
      </c>
      <c r="F1432" s="20" t="s">
        <v>1962</v>
      </c>
      <c r="G1432" s="20" t="str">
        <f t="shared" si="65"/>
        <v>新疆青少年</v>
      </c>
      <c r="H1432" s="20" t="str">
        <f>T("20080201")</f>
        <v>20080201</v>
      </c>
      <c r="I1432" s="20">
        <v>54</v>
      </c>
      <c r="J1432" s="20">
        <v>324</v>
      </c>
      <c r="K1432" s="28" t="s">
        <v>3644</v>
      </c>
    </row>
    <row r="1433" spans="1:11" x14ac:dyDescent="0.25">
      <c r="A1433" s="21">
        <v>1421</v>
      </c>
      <c r="B1433" s="21">
        <v>125</v>
      </c>
      <c r="C1433" s="26" t="s">
        <v>3877</v>
      </c>
      <c r="D1433" s="20"/>
      <c r="E1433" s="27" t="s">
        <v>3878</v>
      </c>
      <c r="F1433" s="20"/>
      <c r="G1433" s="20" t="str">
        <f t="shared" si="65"/>
        <v>新疆青少年</v>
      </c>
      <c r="H1433" s="20" t="str">
        <f t="shared" ref="H1433:H1435" si="67">T("20080201")</f>
        <v>20080201</v>
      </c>
      <c r="I1433" s="20"/>
      <c r="J1433" s="20">
        <v>90</v>
      </c>
      <c r="K1433" s="28" t="s">
        <v>3644</v>
      </c>
    </row>
    <row r="1434" spans="1:11" x14ac:dyDescent="0.25">
      <c r="A1434" s="21">
        <v>1422</v>
      </c>
      <c r="B1434" s="21">
        <v>126</v>
      </c>
      <c r="C1434" s="26" t="s">
        <v>3879</v>
      </c>
      <c r="D1434" s="20"/>
      <c r="E1434" s="27" t="s">
        <v>3880</v>
      </c>
      <c r="F1434" s="20"/>
      <c r="G1434" s="20" t="str">
        <f t="shared" si="65"/>
        <v>新疆青少年</v>
      </c>
      <c r="H1434" s="20" t="str">
        <f t="shared" si="67"/>
        <v>20080201</v>
      </c>
      <c r="I1434" s="20"/>
      <c r="J1434" s="20">
        <v>72</v>
      </c>
      <c r="K1434" s="28" t="s">
        <v>3644</v>
      </c>
    </row>
    <row r="1435" spans="1:11" x14ac:dyDescent="0.25">
      <c r="A1435" s="21">
        <v>1423</v>
      </c>
      <c r="B1435" s="21">
        <v>127</v>
      </c>
      <c r="C1435" s="26" t="s">
        <v>3881</v>
      </c>
      <c r="D1435" s="20"/>
      <c r="E1435" s="27" t="s">
        <v>3882</v>
      </c>
      <c r="F1435" s="20"/>
      <c r="G1435" s="20" t="str">
        <f t="shared" si="65"/>
        <v>新疆青少年</v>
      </c>
      <c r="H1435" s="20" t="str">
        <f t="shared" si="67"/>
        <v>20080201</v>
      </c>
      <c r="I1435" s="20"/>
      <c r="J1435" s="20">
        <v>72</v>
      </c>
      <c r="K1435" s="28" t="s">
        <v>3644</v>
      </c>
    </row>
    <row r="1436" spans="1:11" ht="28.5" x14ac:dyDescent="0.25">
      <c r="A1436" s="21">
        <v>1424</v>
      </c>
      <c r="B1436" s="21">
        <v>128</v>
      </c>
      <c r="C1436" s="26" t="s">
        <v>3883</v>
      </c>
      <c r="D1436" s="20" t="s">
        <v>3884</v>
      </c>
      <c r="E1436" s="27" t="s">
        <v>3885</v>
      </c>
      <c r="F1436" s="20" t="s">
        <v>1962</v>
      </c>
      <c r="G1436" s="20" t="str">
        <f t="shared" si="65"/>
        <v>新疆青少年</v>
      </c>
      <c r="H1436" s="20" t="str">
        <f t="shared" ref="H1436:H1455" si="68">T("20080101")</f>
        <v>20080101</v>
      </c>
      <c r="I1436" s="20">
        <v>12</v>
      </c>
      <c r="J1436" s="20">
        <v>72</v>
      </c>
      <c r="K1436" s="28" t="s">
        <v>3644</v>
      </c>
    </row>
    <row r="1437" spans="1:11" x14ac:dyDescent="0.25">
      <c r="A1437" s="21">
        <v>1425</v>
      </c>
      <c r="B1437" s="21">
        <v>129</v>
      </c>
      <c r="C1437" s="26" t="s">
        <v>3886</v>
      </c>
      <c r="D1437" s="20" t="s">
        <v>3887</v>
      </c>
      <c r="E1437" s="27" t="str">
        <f>T("少兒紅色經典叢書‧長長的流水")</f>
        <v>少兒紅色經典叢書‧長長的流水</v>
      </c>
      <c r="F1437" s="20" t="s">
        <v>1962</v>
      </c>
      <c r="G1437" s="20" t="str">
        <f t="shared" si="65"/>
        <v>新疆青少年</v>
      </c>
      <c r="H1437" s="20" t="str">
        <f t="shared" si="68"/>
        <v>20080101</v>
      </c>
      <c r="I1437" s="20">
        <v>12</v>
      </c>
      <c r="J1437" s="20">
        <v>72</v>
      </c>
      <c r="K1437" s="28" t="s">
        <v>3644</v>
      </c>
    </row>
    <row r="1438" spans="1:11" x14ac:dyDescent="0.25">
      <c r="A1438" s="21">
        <v>1426</v>
      </c>
      <c r="B1438" s="21">
        <v>130</v>
      </c>
      <c r="C1438" s="26" t="s">
        <v>3888</v>
      </c>
      <c r="D1438" s="20" t="s">
        <v>3889</v>
      </c>
      <c r="E1438" s="27" t="str">
        <f>T("少兒紅色經典叢書‧小英雄雨來")</f>
        <v>少兒紅色經典叢書‧小英雄雨來</v>
      </c>
      <c r="F1438" s="20" t="s">
        <v>1962</v>
      </c>
      <c r="G1438" s="20" t="str">
        <f t="shared" si="65"/>
        <v>新疆青少年</v>
      </c>
      <c r="H1438" s="20" t="str">
        <f t="shared" si="68"/>
        <v>20080101</v>
      </c>
      <c r="I1438" s="20">
        <v>12</v>
      </c>
      <c r="J1438" s="20">
        <v>72</v>
      </c>
      <c r="K1438" s="28" t="s">
        <v>3644</v>
      </c>
    </row>
    <row r="1439" spans="1:11" x14ac:dyDescent="0.25">
      <c r="A1439" s="21">
        <v>1427</v>
      </c>
      <c r="B1439" s="21">
        <v>131</v>
      </c>
      <c r="C1439" s="26" t="s">
        <v>3890</v>
      </c>
      <c r="D1439" s="20" t="s">
        <v>3891</v>
      </c>
      <c r="E1439" s="27" t="str">
        <f>T("貝貝熊系列叢書(86)萬聖節幽靈")</f>
        <v>貝貝熊系列叢書(86)萬聖節幽靈</v>
      </c>
      <c r="F1439" s="20" t="s">
        <v>1962</v>
      </c>
      <c r="G1439" s="20" t="str">
        <f t="shared" si="65"/>
        <v>新疆青少年</v>
      </c>
      <c r="H1439" s="20" t="str">
        <f t="shared" si="68"/>
        <v>20080101</v>
      </c>
      <c r="I1439" s="20">
        <v>7.8</v>
      </c>
      <c r="J1439" s="20">
        <v>47</v>
      </c>
      <c r="K1439" s="28" t="s">
        <v>3644</v>
      </c>
    </row>
    <row r="1440" spans="1:11" x14ac:dyDescent="0.25">
      <c r="A1440" s="21">
        <v>1428</v>
      </c>
      <c r="B1440" s="21">
        <v>132</v>
      </c>
      <c r="C1440" s="26" t="s">
        <v>3892</v>
      </c>
      <c r="D1440" s="20" t="s">
        <v>3893</v>
      </c>
      <c r="E1440" s="27" t="str">
        <f>T("貝貝熊系列叢書(78)生病的日子")</f>
        <v>貝貝熊系列叢書(78)生病的日子</v>
      </c>
      <c r="F1440" s="20" t="s">
        <v>1962</v>
      </c>
      <c r="G1440" s="20" t="str">
        <f t="shared" si="65"/>
        <v>新疆青少年</v>
      </c>
      <c r="H1440" s="20" t="str">
        <f t="shared" si="68"/>
        <v>20080101</v>
      </c>
      <c r="I1440" s="20">
        <v>7.8</v>
      </c>
      <c r="J1440" s="20">
        <v>47</v>
      </c>
      <c r="K1440" s="28" t="s">
        <v>3644</v>
      </c>
    </row>
    <row r="1441" spans="1:11" x14ac:dyDescent="0.25">
      <c r="A1441" s="21">
        <v>1429</v>
      </c>
      <c r="B1441" s="21">
        <v>133</v>
      </c>
      <c r="C1441" s="26" t="s">
        <v>3894</v>
      </c>
      <c r="D1441" s="20" t="s">
        <v>3895</v>
      </c>
      <c r="E1441" s="27" t="str">
        <f>T("貝貝熊系列叢書(77)森林大冒險")</f>
        <v>貝貝熊系列叢書(77)森林大冒險</v>
      </c>
      <c r="F1441" s="20" t="s">
        <v>1962</v>
      </c>
      <c r="G1441" s="20" t="str">
        <f t="shared" si="65"/>
        <v>新疆青少年</v>
      </c>
      <c r="H1441" s="20" t="str">
        <f t="shared" si="68"/>
        <v>20080101</v>
      </c>
      <c r="I1441" s="20">
        <v>7.8</v>
      </c>
      <c r="J1441" s="20">
        <v>47</v>
      </c>
      <c r="K1441" s="28" t="s">
        <v>3644</v>
      </c>
    </row>
    <row r="1442" spans="1:11" x14ac:dyDescent="0.25">
      <c r="A1442" s="21">
        <v>1430</v>
      </c>
      <c r="B1442" s="21">
        <v>134</v>
      </c>
      <c r="C1442" s="26" t="s">
        <v>3896</v>
      </c>
      <c r="D1442" s="20" t="s">
        <v>3897</v>
      </c>
      <c r="E1442" s="27" t="str">
        <f>T("貝貝熊系列叢書(76)賽車冠軍")</f>
        <v>貝貝熊系列叢書(76)賽車冠軍</v>
      </c>
      <c r="F1442" s="20" t="s">
        <v>1962</v>
      </c>
      <c r="G1442" s="20" t="str">
        <f t="shared" si="65"/>
        <v>新疆青少年</v>
      </c>
      <c r="H1442" s="20" t="str">
        <f t="shared" si="68"/>
        <v>20080101</v>
      </c>
      <c r="I1442" s="20">
        <v>7.8</v>
      </c>
      <c r="J1442" s="20">
        <v>47</v>
      </c>
      <c r="K1442" s="28" t="s">
        <v>3644</v>
      </c>
    </row>
    <row r="1443" spans="1:11" x14ac:dyDescent="0.25">
      <c r="A1443" s="21">
        <v>1431</v>
      </c>
      <c r="B1443" s="21">
        <v>135</v>
      </c>
      <c r="C1443" s="26" t="s">
        <v>3898</v>
      </c>
      <c r="D1443" s="20" t="s">
        <v>3899</v>
      </c>
      <c r="E1443" s="27" t="str">
        <f>T("貝貝熊系列叢書(75)勤勞的新鄰居")</f>
        <v>貝貝熊系列叢書(75)勤勞的新鄰居</v>
      </c>
      <c r="F1443" s="20" t="s">
        <v>1962</v>
      </c>
      <c r="G1443" s="20" t="str">
        <f t="shared" si="65"/>
        <v>新疆青少年</v>
      </c>
      <c r="H1443" s="20" t="str">
        <f t="shared" si="68"/>
        <v>20080101</v>
      </c>
      <c r="I1443" s="20">
        <v>7.8</v>
      </c>
      <c r="J1443" s="20">
        <v>47</v>
      </c>
      <c r="K1443" s="28" t="s">
        <v>3644</v>
      </c>
    </row>
    <row r="1444" spans="1:11" x14ac:dyDescent="0.25">
      <c r="A1444" s="21">
        <v>1432</v>
      </c>
      <c r="B1444" s="21">
        <v>136</v>
      </c>
      <c r="C1444" s="26" t="s">
        <v>3900</v>
      </c>
      <c r="D1444" s="20" t="s">
        <v>3901</v>
      </c>
      <c r="E1444" s="27" t="str">
        <f>T("貝貝熊系列叢書(74)媽媽不在家")</f>
        <v>貝貝熊系列叢書(74)媽媽不在家</v>
      </c>
      <c r="F1444" s="20" t="s">
        <v>1962</v>
      </c>
      <c r="G1444" s="20" t="str">
        <f t="shared" si="65"/>
        <v>新疆青少年</v>
      </c>
      <c r="H1444" s="20" t="str">
        <f t="shared" si="68"/>
        <v>20080101</v>
      </c>
      <c r="I1444" s="20">
        <v>7.8</v>
      </c>
      <c r="J1444" s="20">
        <v>47</v>
      </c>
      <c r="K1444" s="28" t="s">
        <v>3644</v>
      </c>
    </row>
    <row r="1445" spans="1:11" x14ac:dyDescent="0.25">
      <c r="A1445" s="21">
        <v>1433</v>
      </c>
      <c r="B1445" s="21">
        <v>137</v>
      </c>
      <c r="C1445" s="26" t="s">
        <v>3902</v>
      </c>
      <c r="D1445" s="20" t="s">
        <v>3903</v>
      </c>
      <c r="E1445" s="27" t="str">
        <f>T("貝貝熊系列叢書(73)開車去旅行")</f>
        <v>貝貝熊系列叢書(73)開車去旅行</v>
      </c>
      <c r="F1445" s="20" t="s">
        <v>1962</v>
      </c>
      <c r="G1445" s="20" t="str">
        <f t="shared" si="65"/>
        <v>新疆青少年</v>
      </c>
      <c r="H1445" s="20" t="str">
        <f t="shared" si="68"/>
        <v>20080101</v>
      </c>
      <c r="I1445" s="20">
        <v>7.8</v>
      </c>
      <c r="J1445" s="20">
        <v>47</v>
      </c>
      <c r="K1445" s="28" t="s">
        <v>3644</v>
      </c>
    </row>
    <row r="1446" spans="1:11" x14ac:dyDescent="0.25">
      <c r="A1446" s="21">
        <v>1434</v>
      </c>
      <c r="B1446" s="21">
        <v>138</v>
      </c>
      <c r="C1446" s="26" t="s">
        <v>3904</v>
      </c>
      <c r="D1446" s="20" t="s">
        <v>3905</v>
      </c>
      <c r="E1446" s="27" t="str">
        <f>T("貝貝熊系列叢書(72)家庭新成員")</f>
        <v>貝貝熊系列叢書(72)家庭新成員</v>
      </c>
      <c r="F1446" s="20" t="s">
        <v>1962</v>
      </c>
      <c r="G1446" s="20" t="str">
        <f t="shared" si="65"/>
        <v>新疆青少年</v>
      </c>
      <c r="H1446" s="20" t="str">
        <f t="shared" si="68"/>
        <v>20080101</v>
      </c>
      <c r="I1446" s="20">
        <v>7.8</v>
      </c>
      <c r="J1446" s="20">
        <v>47</v>
      </c>
      <c r="K1446" s="28" t="s">
        <v>3644</v>
      </c>
    </row>
    <row r="1447" spans="1:11" x14ac:dyDescent="0.25">
      <c r="A1447" s="21">
        <v>1435</v>
      </c>
      <c r="B1447" s="21">
        <v>139</v>
      </c>
      <c r="C1447" s="26" t="s">
        <v>3906</v>
      </c>
      <c r="D1447" s="20" t="s">
        <v>3907</v>
      </c>
      <c r="E1447" s="27" t="str">
        <f>T("貝貝熊系列叢書(71)閣樓裡的寶藏")</f>
        <v>貝貝熊系列叢書(71)閣樓裡的寶藏</v>
      </c>
      <c r="F1447" s="20" t="s">
        <v>1962</v>
      </c>
      <c r="G1447" s="20" t="str">
        <f t="shared" si="65"/>
        <v>新疆青少年</v>
      </c>
      <c r="H1447" s="20" t="str">
        <f t="shared" si="68"/>
        <v>20080101</v>
      </c>
      <c r="I1447" s="20">
        <v>7.8</v>
      </c>
      <c r="J1447" s="20">
        <v>47</v>
      </c>
      <c r="K1447" s="28" t="s">
        <v>3644</v>
      </c>
    </row>
    <row r="1448" spans="1:11" x14ac:dyDescent="0.25">
      <c r="A1448" s="21">
        <v>1436</v>
      </c>
      <c r="B1448" s="21">
        <v>140</v>
      </c>
      <c r="C1448" s="26" t="s">
        <v>3908</v>
      </c>
      <c r="D1448" s="20" t="s">
        <v>3909</v>
      </c>
      <c r="E1448" s="27" t="str">
        <f>T("貝貝熊系列叢書(84)復活節彩蛋")</f>
        <v>貝貝熊系列叢書(84)復活節彩蛋</v>
      </c>
      <c r="F1448" s="20" t="s">
        <v>1962</v>
      </c>
      <c r="G1448" s="20" t="str">
        <f t="shared" si="65"/>
        <v>新疆青少年</v>
      </c>
      <c r="H1448" s="20" t="str">
        <f t="shared" si="68"/>
        <v>20080101</v>
      </c>
      <c r="I1448" s="20">
        <v>7.8</v>
      </c>
      <c r="J1448" s="20">
        <v>47</v>
      </c>
      <c r="K1448" s="28" t="s">
        <v>3644</v>
      </c>
    </row>
    <row r="1449" spans="1:11" x14ac:dyDescent="0.25">
      <c r="A1449" s="21">
        <v>1437</v>
      </c>
      <c r="B1449" s="21">
        <v>141</v>
      </c>
      <c r="C1449" s="26" t="s">
        <v>3910</v>
      </c>
      <c r="D1449" s="20" t="s">
        <v>3911</v>
      </c>
      <c r="E1449" s="27" t="str">
        <f>T("貝貝熊系列叢書(83)電腦大麻煩")</f>
        <v>貝貝熊系列叢書(83)電腦大麻煩</v>
      </c>
      <c r="F1449" s="20" t="s">
        <v>1962</v>
      </c>
      <c r="G1449" s="20" t="str">
        <f t="shared" si="65"/>
        <v>新疆青少年</v>
      </c>
      <c r="H1449" s="20" t="str">
        <f t="shared" si="68"/>
        <v>20080101</v>
      </c>
      <c r="I1449" s="20">
        <v>7.8</v>
      </c>
      <c r="J1449" s="20">
        <v>47</v>
      </c>
      <c r="K1449" s="28" t="s">
        <v>3644</v>
      </c>
    </row>
    <row r="1450" spans="1:11" x14ac:dyDescent="0.25">
      <c r="A1450" s="21">
        <v>1438</v>
      </c>
      <c r="B1450" s="21">
        <v>142</v>
      </c>
      <c r="C1450" s="26" t="s">
        <v>3912</v>
      </c>
      <c r="D1450" s="20" t="s">
        <v>3913</v>
      </c>
      <c r="E1450" s="27" t="str">
        <f>T("貝貝熊系列叢書(82)代課老師")</f>
        <v>貝貝熊系列叢書(82)代課老師</v>
      </c>
      <c r="F1450" s="20" t="s">
        <v>1962</v>
      </c>
      <c r="G1450" s="20" t="str">
        <f t="shared" si="65"/>
        <v>新疆青少年</v>
      </c>
      <c r="H1450" s="20" t="str">
        <f t="shared" si="68"/>
        <v>20080101</v>
      </c>
      <c r="I1450" s="20">
        <v>7.8</v>
      </c>
      <c r="J1450" s="20">
        <v>47</v>
      </c>
      <c r="K1450" s="28" t="s">
        <v>3644</v>
      </c>
    </row>
    <row r="1451" spans="1:11" x14ac:dyDescent="0.25">
      <c r="A1451" s="21">
        <v>1439</v>
      </c>
      <c r="B1451" s="21">
        <v>143</v>
      </c>
      <c r="C1451" s="26" t="s">
        <v>3914</v>
      </c>
      <c r="D1451" s="20" t="s">
        <v>3915</v>
      </c>
      <c r="E1451" s="27" t="str">
        <f>T("貝貝熊系列叢書(81)寵物總動員")</f>
        <v>貝貝熊系列叢書(81)寵物總動員</v>
      </c>
      <c r="F1451" s="20" t="s">
        <v>1962</v>
      </c>
      <c r="G1451" s="20" t="str">
        <f t="shared" si="65"/>
        <v>新疆青少年</v>
      </c>
      <c r="H1451" s="20" t="str">
        <f t="shared" si="68"/>
        <v>20080101</v>
      </c>
      <c r="I1451" s="20">
        <v>7.8</v>
      </c>
      <c r="J1451" s="20">
        <v>47</v>
      </c>
      <c r="K1451" s="28" t="s">
        <v>3644</v>
      </c>
    </row>
    <row r="1452" spans="1:11" x14ac:dyDescent="0.25">
      <c r="A1452" s="21">
        <v>1440</v>
      </c>
      <c r="B1452" s="21">
        <v>144</v>
      </c>
      <c r="C1452" s="26" t="s">
        <v>3916</v>
      </c>
      <c r="D1452" s="20" t="s">
        <v>3917</v>
      </c>
      <c r="E1452" s="27" t="str">
        <f>T("大野狼和他的魔術演出")</f>
        <v>大野狼和他的魔術演出</v>
      </c>
      <c r="F1452" s="20" t="s">
        <v>1962</v>
      </c>
      <c r="G1452" s="20" t="str">
        <f t="shared" si="65"/>
        <v>新疆青少年</v>
      </c>
      <c r="H1452" s="20" t="str">
        <f t="shared" si="68"/>
        <v>20080101</v>
      </c>
      <c r="I1452" s="20">
        <v>13</v>
      </c>
      <c r="J1452" s="20">
        <v>78</v>
      </c>
      <c r="K1452" s="28" t="s">
        <v>3644</v>
      </c>
    </row>
    <row r="1453" spans="1:11" x14ac:dyDescent="0.25">
      <c r="A1453" s="21">
        <v>1441</v>
      </c>
      <c r="B1453" s="21">
        <v>145</v>
      </c>
      <c r="C1453" s="26" t="s">
        <v>3918</v>
      </c>
      <c r="D1453" s="20" t="s">
        <v>3919</v>
      </c>
      <c r="E1453" s="27" t="str">
        <f>T("大野狼和三隻小?的化裝舞會")</f>
        <v>大野狼和三隻小?的化裝舞會</v>
      </c>
      <c r="F1453" s="20" t="s">
        <v>1962</v>
      </c>
      <c r="G1453" s="20" t="str">
        <f t="shared" si="65"/>
        <v>新疆青少年</v>
      </c>
      <c r="H1453" s="20" t="str">
        <f t="shared" si="68"/>
        <v>20080101</v>
      </c>
      <c r="I1453" s="20">
        <v>13</v>
      </c>
      <c r="J1453" s="20">
        <v>78</v>
      </c>
      <c r="K1453" s="28" t="s">
        <v>3644</v>
      </c>
    </row>
    <row r="1454" spans="1:11" x14ac:dyDescent="0.25">
      <c r="A1454" s="21">
        <v>1442</v>
      </c>
      <c r="B1454" s="21">
        <v>146</v>
      </c>
      <c r="C1454" s="26" t="s">
        <v>3920</v>
      </c>
      <c r="D1454" s="20" t="s">
        <v>3921</v>
      </c>
      <c r="E1454" s="27" t="str">
        <f>T("少兒紅色經典叢書：兩個小八路")</f>
        <v>少兒紅色經典叢書：兩個小八路</v>
      </c>
      <c r="F1454" s="20" t="s">
        <v>1962</v>
      </c>
      <c r="G1454" s="20" t="str">
        <f t="shared" si="65"/>
        <v>新疆青少年</v>
      </c>
      <c r="H1454" s="20" t="str">
        <f t="shared" si="68"/>
        <v>20080101</v>
      </c>
      <c r="I1454" s="20">
        <v>13</v>
      </c>
      <c r="J1454" s="20">
        <v>78</v>
      </c>
      <c r="K1454" s="28" t="s">
        <v>3644</v>
      </c>
    </row>
    <row r="1455" spans="1:11" x14ac:dyDescent="0.25">
      <c r="A1455" s="21">
        <v>1443</v>
      </c>
      <c r="B1455" s="21">
        <v>147</v>
      </c>
      <c r="C1455" s="26" t="s">
        <v>3922</v>
      </c>
      <c r="D1455" s="20" t="s">
        <v>3923</v>
      </c>
      <c r="E1455" s="27" t="str">
        <f>T("少兒紅色經典叢書—董存瑞")</f>
        <v>少兒紅色經典叢書—董存瑞</v>
      </c>
      <c r="F1455" s="20" t="s">
        <v>1962</v>
      </c>
      <c r="G1455" s="20" t="str">
        <f t="shared" si="65"/>
        <v>新疆青少年</v>
      </c>
      <c r="H1455" s="20" t="str">
        <f t="shared" si="68"/>
        <v>20080101</v>
      </c>
      <c r="I1455" s="20">
        <v>13</v>
      </c>
      <c r="J1455" s="20">
        <v>78</v>
      </c>
      <c r="K1455" s="28" t="s">
        <v>3644</v>
      </c>
    </row>
    <row r="1456" spans="1:11" x14ac:dyDescent="0.25">
      <c r="A1456" s="21">
        <v>1444</v>
      </c>
      <c r="B1456" s="21">
        <v>148</v>
      </c>
      <c r="C1456" s="26" t="s">
        <v>3924</v>
      </c>
      <c r="D1456" s="20" t="s">
        <v>3925</v>
      </c>
      <c r="E1456" s="27" t="str">
        <f>T("進入大腦世界的神奇之旅")</f>
        <v>進入大腦世界的神奇之旅</v>
      </c>
      <c r="F1456" s="20" t="s">
        <v>3926</v>
      </c>
      <c r="G1456" s="20" t="str">
        <f>T("江西美術")</f>
        <v>江西美術</v>
      </c>
      <c r="H1456" s="20" t="str">
        <f>T("20100501")</f>
        <v>20100501</v>
      </c>
      <c r="I1456" s="20">
        <v>25</v>
      </c>
      <c r="J1456" s="20">
        <v>150</v>
      </c>
      <c r="K1456" s="28" t="s">
        <v>3644</v>
      </c>
    </row>
    <row r="1457" spans="1:11" x14ac:dyDescent="0.25">
      <c r="A1457" s="21">
        <v>1445</v>
      </c>
      <c r="B1457" s="21">
        <v>149</v>
      </c>
      <c r="C1457" s="26" t="s">
        <v>3927</v>
      </c>
      <c r="D1457" s="20" t="s">
        <v>3928</v>
      </c>
      <c r="E1457" s="27" t="str">
        <f>T("生物進化歷程的時空之旅")</f>
        <v>生物進化歷程的時空之旅</v>
      </c>
      <c r="F1457" s="20" t="s">
        <v>3929</v>
      </c>
      <c r="G1457" s="20" t="str">
        <f>T("江西美術")</f>
        <v>江西美術</v>
      </c>
      <c r="H1457" s="20" t="str">
        <f>T("20100501")</f>
        <v>20100501</v>
      </c>
      <c r="I1457" s="20">
        <v>25</v>
      </c>
      <c r="J1457" s="20">
        <v>150</v>
      </c>
      <c r="K1457" s="28" t="s">
        <v>3644</v>
      </c>
    </row>
    <row r="1458" spans="1:11" x14ac:dyDescent="0.25">
      <c r="A1458" s="21">
        <v>1446</v>
      </c>
      <c r="B1458" s="21">
        <v>150</v>
      </c>
      <c r="C1458" s="26" t="s">
        <v>3930</v>
      </c>
      <c r="D1458" s="20" t="s">
        <v>3931</v>
      </c>
      <c r="E1458" s="27" t="str">
        <f>T("小恐龍幼兒園-對不起我錯了")</f>
        <v>小恐龍幼兒園-對不起我錯了</v>
      </c>
      <c r="F1458" s="20" t="s">
        <v>1962</v>
      </c>
      <c r="G1458" s="20" t="str">
        <f t="shared" ref="G1458:G1494" si="69">T("新疆青少年")</f>
        <v>新疆青少年</v>
      </c>
      <c r="H1458" s="20" t="str">
        <f t="shared" ref="H1458:H1488" si="70">T("20080101")</f>
        <v>20080101</v>
      </c>
      <c r="I1458" s="20">
        <v>8</v>
      </c>
      <c r="J1458" s="20">
        <v>48</v>
      </c>
      <c r="K1458" s="28" t="s">
        <v>3644</v>
      </c>
    </row>
    <row r="1459" spans="1:11" x14ac:dyDescent="0.25">
      <c r="A1459" s="21">
        <v>1447</v>
      </c>
      <c r="B1459" s="21">
        <v>151</v>
      </c>
      <c r="C1459" s="26" t="s">
        <v>3932</v>
      </c>
      <c r="D1459" s="20" t="s">
        <v>3933</v>
      </c>
      <c r="E1459" s="27" t="str">
        <f>T("番茄天書(3)身體複制儀")</f>
        <v>番茄天書(3)身體複制儀</v>
      </c>
      <c r="F1459" s="20" t="s">
        <v>1962</v>
      </c>
      <c r="G1459" s="20" t="str">
        <f t="shared" si="69"/>
        <v>新疆青少年</v>
      </c>
      <c r="H1459" s="20" t="str">
        <f t="shared" si="70"/>
        <v>20080101</v>
      </c>
      <c r="I1459" s="20">
        <v>29.8</v>
      </c>
      <c r="J1459" s="20">
        <v>179</v>
      </c>
      <c r="K1459" s="28" t="s">
        <v>3644</v>
      </c>
    </row>
    <row r="1460" spans="1:11" x14ac:dyDescent="0.25">
      <c r="A1460" s="21">
        <v>1448</v>
      </c>
      <c r="B1460" s="21">
        <v>152</v>
      </c>
      <c r="C1460" s="26" t="s">
        <v>3934</v>
      </c>
      <c r="D1460" s="20" t="s">
        <v>3935</v>
      </c>
      <c r="E1460" s="27" t="str">
        <f>T("番茄天書(2)辣椒豪宅的秘密")</f>
        <v>番茄天書(2)辣椒豪宅的秘密</v>
      </c>
      <c r="F1460" s="20" t="s">
        <v>1962</v>
      </c>
      <c r="G1460" s="20" t="str">
        <f t="shared" si="69"/>
        <v>新疆青少年</v>
      </c>
      <c r="H1460" s="20" t="str">
        <f t="shared" si="70"/>
        <v>20080101</v>
      </c>
      <c r="I1460" s="20">
        <v>32.5</v>
      </c>
      <c r="J1460" s="20">
        <v>195</v>
      </c>
      <c r="K1460" s="28" t="s">
        <v>3644</v>
      </c>
    </row>
    <row r="1461" spans="1:11" x14ac:dyDescent="0.25">
      <c r="A1461" s="21">
        <v>1449</v>
      </c>
      <c r="B1461" s="21">
        <v>153</v>
      </c>
      <c r="C1461" s="26" t="s">
        <v>3936</v>
      </c>
      <c r="D1461" s="20" t="s">
        <v>3937</v>
      </c>
      <c r="E1461" s="27" t="str">
        <f>T("番茄天書(1)秘密筆記事件")</f>
        <v>番茄天書(1)秘密筆記事件</v>
      </c>
      <c r="F1461" s="20" t="s">
        <v>1962</v>
      </c>
      <c r="G1461" s="20" t="str">
        <f t="shared" si="69"/>
        <v>新疆青少年</v>
      </c>
      <c r="H1461" s="20" t="str">
        <f t="shared" si="70"/>
        <v>20080101</v>
      </c>
      <c r="I1461" s="20">
        <v>32.5</v>
      </c>
      <c r="J1461" s="20">
        <v>195</v>
      </c>
      <c r="K1461" s="28" t="s">
        <v>3644</v>
      </c>
    </row>
    <row r="1462" spans="1:11" x14ac:dyDescent="0.25">
      <c r="A1462" s="21">
        <v>1450</v>
      </c>
      <c r="B1462" s="21">
        <v>154</v>
      </c>
      <c r="C1462" s="26" t="s">
        <v>3938</v>
      </c>
      <c r="D1462" s="20" t="s">
        <v>3939</v>
      </c>
      <c r="E1462" s="27" t="str">
        <f>T("雙把兒鐵鍋卡琦婭-我上學啦")</f>
        <v>雙把兒鐵鍋卡琦婭-我上學啦</v>
      </c>
      <c r="F1462" s="20" t="s">
        <v>1962</v>
      </c>
      <c r="G1462" s="20" t="str">
        <f t="shared" si="69"/>
        <v>新疆青少年</v>
      </c>
      <c r="H1462" s="20" t="str">
        <f t="shared" si="70"/>
        <v>20080101</v>
      </c>
      <c r="I1462" s="20">
        <v>12</v>
      </c>
      <c r="J1462" s="20">
        <v>72</v>
      </c>
      <c r="K1462" s="28" t="s">
        <v>3644</v>
      </c>
    </row>
    <row r="1463" spans="1:11" x14ac:dyDescent="0.25">
      <c r="A1463" s="21">
        <v>1451</v>
      </c>
      <c r="B1463" s="21">
        <v>155</v>
      </c>
      <c r="C1463" s="26" t="s">
        <v>3940</v>
      </c>
      <c r="D1463" s="20" t="s">
        <v>3941</v>
      </c>
      <c r="E1463" s="27" t="str">
        <f>T("雙把兒鐵鍋卡琦婭-我上報紙啦")</f>
        <v>雙把兒鐵鍋卡琦婭-我上報紙啦</v>
      </c>
      <c r="F1463" s="20" t="s">
        <v>1962</v>
      </c>
      <c r="G1463" s="20" t="str">
        <f t="shared" si="69"/>
        <v>新疆青少年</v>
      </c>
      <c r="H1463" s="20" t="str">
        <f t="shared" si="70"/>
        <v>20080101</v>
      </c>
      <c r="I1463" s="20">
        <v>12</v>
      </c>
      <c r="J1463" s="20">
        <v>72</v>
      </c>
      <c r="K1463" s="28" t="s">
        <v>3644</v>
      </c>
    </row>
    <row r="1464" spans="1:11" x14ac:dyDescent="0.25">
      <c r="A1464" s="21">
        <v>1452</v>
      </c>
      <c r="B1464" s="21">
        <v>156</v>
      </c>
      <c r="C1464" s="26" t="s">
        <v>3942</v>
      </c>
      <c r="D1464" s="20" t="s">
        <v>3943</v>
      </c>
      <c r="E1464" s="27" t="str">
        <f>T("小恐龍幼兒園-這樣不公平")</f>
        <v>小恐龍幼兒園-這樣不公平</v>
      </c>
      <c r="F1464" s="20" t="s">
        <v>1962</v>
      </c>
      <c r="G1464" s="20" t="str">
        <f t="shared" si="69"/>
        <v>新疆青少年</v>
      </c>
      <c r="H1464" s="20" t="str">
        <f t="shared" si="70"/>
        <v>20080101</v>
      </c>
      <c r="I1464" s="20">
        <v>8</v>
      </c>
      <c r="J1464" s="20">
        <v>48</v>
      </c>
      <c r="K1464" s="28" t="s">
        <v>3644</v>
      </c>
    </row>
    <row r="1465" spans="1:11" x14ac:dyDescent="0.25">
      <c r="A1465" s="21">
        <v>1453</v>
      </c>
      <c r="B1465" s="21">
        <v>157</v>
      </c>
      <c r="C1465" s="26" t="s">
        <v>3944</v>
      </c>
      <c r="D1465" s="20" t="s">
        <v>3945</v>
      </c>
      <c r="E1465" s="27" t="str">
        <f>T("小恐龍幼兒園-摘蘋果")</f>
        <v>小恐龍幼兒園-摘蘋果</v>
      </c>
      <c r="F1465" s="20" t="s">
        <v>1962</v>
      </c>
      <c r="G1465" s="20" t="str">
        <f t="shared" si="69"/>
        <v>新疆青少年</v>
      </c>
      <c r="H1465" s="20" t="str">
        <f t="shared" si="70"/>
        <v>20080101</v>
      </c>
      <c r="I1465" s="20">
        <v>8</v>
      </c>
      <c r="J1465" s="20">
        <v>48</v>
      </c>
      <c r="K1465" s="28" t="s">
        <v>3644</v>
      </c>
    </row>
    <row r="1466" spans="1:11" x14ac:dyDescent="0.25">
      <c r="A1466" s="21">
        <v>1454</v>
      </c>
      <c r="B1466" s="21">
        <v>158</v>
      </c>
      <c r="C1466" s="26" t="s">
        <v>3946</v>
      </c>
      <c r="D1466" s="20" t="s">
        <v>3947</v>
      </c>
      <c r="E1466" s="27" t="str">
        <f>T("小恐龍幼兒園-小冒失鬼")</f>
        <v>小恐龍幼兒園-小冒失鬼</v>
      </c>
      <c r="F1466" s="20" t="s">
        <v>1962</v>
      </c>
      <c r="G1466" s="20" t="str">
        <f t="shared" si="69"/>
        <v>新疆青少年</v>
      </c>
      <c r="H1466" s="20" t="str">
        <f t="shared" si="70"/>
        <v>20080101</v>
      </c>
      <c r="I1466" s="20">
        <v>8</v>
      </c>
      <c r="J1466" s="20">
        <v>48</v>
      </c>
      <c r="K1466" s="28" t="s">
        <v>3644</v>
      </c>
    </row>
    <row r="1467" spans="1:11" x14ac:dyDescent="0.25">
      <c r="A1467" s="21">
        <v>1455</v>
      </c>
      <c r="B1467" s="21">
        <v>159</v>
      </c>
      <c r="C1467" s="26" t="s">
        <v>3948</v>
      </c>
      <c r="D1467" s="20" t="s">
        <v>3949</v>
      </c>
      <c r="E1467" s="27" t="str">
        <f>T("小恐龍幼兒園-消防演習")</f>
        <v>小恐龍幼兒園-消防演習</v>
      </c>
      <c r="F1467" s="20" t="s">
        <v>1962</v>
      </c>
      <c r="G1467" s="20" t="str">
        <f t="shared" si="69"/>
        <v>新疆青少年</v>
      </c>
      <c r="H1467" s="20" t="str">
        <f t="shared" si="70"/>
        <v>20080101</v>
      </c>
      <c r="I1467" s="20">
        <v>8</v>
      </c>
      <c r="J1467" s="20">
        <v>48</v>
      </c>
      <c r="K1467" s="28" t="s">
        <v>3644</v>
      </c>
    </row>
    <row r="1468" spans="1:11" x14ac:dyDescent="0.25">
      <c r="A1468" s="21">
        <v>1456</v>
      </c>
      <c r="B1468" s="21">
        <v>160</v>
      </c>
      <c r="C1468" s="26" t="s">
        <v>3950</v>
      </c>
      <c r="D1468" s="20" t="s">
        <v>3951</v>
      </c>
      <c r="E1468" s="27" t="str">
        <f>T("小恐龍幼兒園-下雪了")</f>
        <v>小恐龍幼兒園-下雪了</v>
      </c>
      <c r="F1468" s="20" t="s">
        <v>1962</v>
      </c>
      <c r="G1468" s="20" t="str">
        <f t="shared" si="69"/>
        <v>新疆青少年</v>
      </c>
      <c r="H1468" s="20" t="str">
        <f t="shared" si="70"/>
        <v>20080101</v>
      </c>
      <c r="I1468" s="20">
        <v>8</v>
      </c>
      <c r="J1468" s="20">
        <v>48</v>
      </c>
      <c r="K1468" s="28" t="s">
        <v>3644</v>
      </c>
    </row>
    <row r="1469" spans="1:11" x14ac:dyDescent="0.25">
      <c r="A1469" s="21">
        <v>1457</v>
      </c>
      <c r="B1469" s="21">
        <v>161</v>
      </c>
      <c r="C1469" s="26" t="s">
        <v>3952</v>
      </c>
      <c r="D1469" s="20" t="s">
        <v>3953</v>
      </c>
      <c r="E1469" s="27" t="str">
        <f>T("小恐龍幼兒園-我也很棒")</f>
        <v>小恐龍幼兒園-我也很棒</v>
      </c>
      <c r="F1469" s="20" t="s">
        <v>1962</v>
      </c>
      <c r="G1469" s="20" t="str">
        <f t="shared" si="69"/>
        <v>新疆青少年</v>
      </c>
      <c r="H1469" s="20" t="str">
        <f t="shared" si="70"/>
        <v>20080101</v>
      </c>
      <c r="I1469" s="20">
        <v>8</v>
      </c>
      <c r="J1469" s="20">
        <v>48</v>
      </c>
      <c r="K1469" s="28" t="s">
        <v>3644</v>
      </c>
    </row>
    <row r="1470" spans="1:11" x14ac:dyDescent="0.25">
      <c r="A1470" s="21">
        <v>1458</v>
      </c>
      <c r="B1470" s="21">
        <v>162</v>
      </c>
      <c r="C1470" s="26" t="s">
        <v>3954</v>
      </c>
      <c r="D1470" s="20" t="s">
        <v>3955</v>
      </c>
      <c r="E1470" s="27" t="str">
        <f>T("小恐龍幼兒園-我想發脾氣")</f>
        <v>小恐龍幼兒園-我想發脾氣</v>
      </c>
      <c r="F1470" s="20" t="s">
        <v>1962</v>
      </c>
      <c r="G1470" s="20" t="str">
        <f t="shared" si="69"/>
        <v>新疆青少年</v>
      </c>
      <c r="H1470" s="20" t="str">
        <f t="shared" si="70"/>
        <v>20080101</v>
      </c>
      <c r="I1470" s="20">
        <v>8</v>
      </c>
      <c r="J1470" s="20">
        <v>48</v>
      </c>
      <c r="K1470" s="28" t="s">
        <v>3644</v>
      </c>
    </row>
    <row r="1471" spans="1:11" x14ac:dyDescent="0.25">
      <c r="A1471" s="21">
        <v>1459</v>
      </c>
      <c r="B1471" s="21">
        <v>163</v>
      </c>
      <c r="C1471" s="26" t="s">
        <v>3956</v>
      </c>
      <c r="D1471" s="20" t="s">
        <v>3957</v>
      </c>
      <c r="E1471" s="27" t="str">
        <f>T("小恐龍幼兒園-我說了算")</f>
        <v>小恐龍幼兒園-我說了算</v>
      </c>
      <c r="F1471" s="20" t="s">
        <v>1962</v>
      </c>
      <c r="G1471" s="20" t="str">
        <f t="shared" si="69"/>
        <v>新疆青少年</v>
      </c>
      <c r="H1471" s="20" t="str">
        <f t="shared" si="70"/>
        <v>20080101</v>
      </c>
      <c r="I1471" s="20">
        <v>8</v>
      </c>
      <c r="J1471" s="20">
        <v>48</v>
      </c>
      <c r="K1471" s="28" t="s">
        <v>3644</v>
      </c>
    </row>
    <row r="1472" spans="1:11" x14ac:dyDescent="0.25">
      <c r="A1472" s="21">
        <v>1460</v>
      </c>
      <c r="B1472" s="21">
        <v>164</v>
      </c>
      <c r="C1472" s="26" t="s">
        <v>3958</v>
      </c>
      <c r="D1472" s="20" t="s">
        <v>3959</v>
      </c>
      <c r="E1472" s="27" t="str">
        <f>T("小恐龍幼兒園-我是超人")</f>
        <v>小恐龍幼兒園-我是超人</v>
      </c>
      <c r="F1472" s="20" t="s">
        <v>1962</v>
      </c>
      <c r="G1472" s="20" t="str">
        <f t="shared" si="69"/>
        <v>新疆青少年</v>
      </c>
      <c r="H1472" s="20" t="str">
        <f t="shared" si="70"/>
        <v>20080101</v>
      </c>
      <c r="I1472" s="20">
        <v>8</v>
      </c>
      <c r="J1472" s="20">
        <v>48</v>
      </c>
      <c r="K1472" s="28" t="s">
        <v>3644</v>
      </c>
    </row>
    <row r="1473" spans="1:11" x14ac:dyDescent="0.25">
      <c r="A1473" s="21">
        <v>1461</v>
      </c>
      <c r="B1473" s="21">
        <v>165</v>
      </c>
      <c r="C1473" s="26" t="s">
        <v>3960</v>
      </c>
      <c r="D1473" s="20" t="s">
        <v>3961</v>
      </c>
      <c r="E1473" s="27" t="str">
        <f>T("小恐龍幼兒園-我們愛泥巴")</f>
        <v>小恐龍幼兒園-我們愛泥巴</v>
      </c>
      <c r="F1473" s="20" t="s">
        <v>1962</v>
      </c>
      <c r="G1473" s="20" t="str">
        <f t="shared" si="69"/>
        <v>新疆青少年</v>
      </c>
      <c r="H1473" s="20" t="str">
        <f t="shared" si="70"/>
        <v>20080101</v>
      </c>
      <c r="I1473" s="20">
        <v>8</v>
      </c>
      <c r="J1473" s="20">
        <v>48</v>
      </c>
      <c r="K1473" s="28" t="s">
        <v>3644</v>
      </c>
    </row>
    <row r="1474" spans="1:11" x14ac:dyDescent="0.25">
      <c r="A1474" s="21">
        <v>1462</v>
      </c>
      <c r="B1474" s="21">
        <v>166</v>
      </c>
      <c r="C1474" s="26" t="s">
        <v>3962</v>
      </c>
      <c r="D1474" s="20" t="s">
        <v>3963</v>
      </c>
      <c r="E1474" s="27" t="str">
        <f>T("小恐龍幼兒園-我們愛蟲蟲")</f>
        <v>小恐龍幼兒園-我們愛蟲蟲</v>
      </c>
      <c r="F1474" s="20" t="s">
        <v>1962</v>
      </c>
      <c r="G1474" s="20" t="str">
        <f t="shared" si="69"/>
        <v>新疆青少年</v>
      </c>
      <c r="H1474" s="20" t="str">
        <f t="shared" si="70"/>
        <v>20080101</v>
      </c>
      <c r="I1474" s="20">
        <v>8</v>
      </c>
      <c r="J1474" s="20">
        <v>48</v>
      </c>
      <c r="K1474" s="28" t="s">
        <v>3644</v>
      </c>
    </row>
    <row r="1475" spans="1:11" x14ac:dyDescent="0.25">
      <c r="A1475" s="21">
        <v>1463</v>
      </c>
      <c r="B1475" s="21">
        <v>167</v>
      </c>
      <c r="C1475" s="26" t="s">
        <v>3964</v>
      </c>
      <c r="D1475" s="20" t="s">
        <v>3965</v>
      </c>
      <c r="E1475" s="27" t="str">
        <f>T("小恐龍幼兒園-我敢下水了")</f>
        <v>小恐龍幼兒園-我敢下水了</v>
      </c>
      <c r="F1475" s="20" t="s">
        <v>1962</v>
      </c>
      <c r="G1475" s="20" t="str">
        <f t="shared" si="69"/>
        <v>新疆青少年</v>
      </c>
      <c r="H1475" s="20" t="str">
        <f t="shared" si="70"/>
        <v>20080101</v>
      </c>
      <c r="I1475" s="20">
        <v>8</v>
      </c>
      <c r="J1475" s="20">
        <v>48</v>
      </c>
      <c r="K1475" s="28" t="s">
        <v>3644</v>
      </c>
    </row>
    <row r="1476" spans="1:11" x14ac:dyDescent="0.25">
      <c r="A1476" s="21">
        <v>1464</v>
      </c>
      <c r="B1476" s="21">
        <v>168</v>
      </c>
      <c r="C1476" s="26" t="s">
        <v>3966</v>
      </c>
      <c r="D1476" s="20" t="s">
        <v>3967</v>
      </c>
      <c r="E1476" s="27" t="str">
        <f>T("小恐龍幼兒園-我的南瓜哥哥")</f>
        <v>小恐龍幼兒園-我的南瓜哥哥</v>
      </c>
      <c r="F1476" s="20" t="s">
        <v>1962</v>
      </c>
      <c r="G1476" s="20" t="str">
        <f t="shared" si="69"/>
        <v>新疆青少年</v>
      </c>
      <c r="H1476" s="20" t="str">
        <f t="shared" si="70"/>
        <v>20080101</v>
      </c>
      <c r="I1476" s="20">
        <v>8</v>
      </c>
      <c r="J1476" s="20">
        <v>48</v>
      </c>
      <c r="K1476" s="28" t="s">
        <v>3644</v>
      </c>
    </row>
    <row r="1477" spans="1:11" x14ac:dyDescent="0.25">
      <c r="A1477" s="21">
        <v>1465</v>
      </c>
      <c r="B1477" s="21">
        <v>169</v>
      </c>
      <c r="C1477" s="26" t="s">
        <v>3968</v>
      </c>
      <c r="D1477" s="20" t="s">
        <v>3969</v>
      </c>
      <c r="E1477" s="27" t="str">
        <f>T("小恐龍幼兒園-萬聖節面具")</f>
        <v>小恐龍幼兒園-萬聖節面具</v>
      </c>
      <c r="F1477" s="20" t="s">
        <v>1962</v>
      </c>
      <c r="G1477" s="20" t="str">
        <f t="shared" si="69"/>
        <v>新疆青少年</v>
      </c>
      <c r="H1477" s="20" t="str">
        <f t="shared" si="70"/>
        <v>20080101</v>
      </c>
      <c r="I1477" s="20">
        <v>8</v>
      </c>
      <c r="J1477" s="20">
        <v>48</v>
      </c>
      <c r="K1477" s="28" t="s">
        <v>3644</v>
      </c>
    </row>
    <row r="1478" spans="1:11" x14ac:dyDescent="0.25">
      <c r="A1478" s="21">
        <v>1466</v>
      </c>
      <c r="B1478" s="21">
        <v>170</v>
      </c>
      <c r="C1478" s="26" t="s">
        <v>3970</v>
      </c>
      <c r="D1478" s="20" t="s">
        <v>3971</v>
      </c>
      <c r="E1478" s="27" t="str">
        <f>T("小恐龍幼兒園-去郊遊")</f>
        <v>小恐龍幼兒園-去郊遊</v>
      </c>
      <c r="F1478" s="20" t="s">
        <v>1962</v>
      </c>
      <c r="G1478" s="20" t="str">
        <f t="shared" si="69"/>
        <v>新疆青少年</v>
      </c>
      <c r="H1478" s="20" t="str">
        <f t="shared" si="70"/>
        <v>20080101</v>
      </c>
      <c r="I1478" s="20">
        <v>8</v>
      </c>
      <c r="J1478" s="20">
        <v>48</v>
      </c>
      <c r="K1478" s="28" t="s">
        <v>3644</v>
      </c>
    </row>
    <row r="1479" spans="1:11" x14ac:dyDescent="0.25">
      <c r="A1479" s="21">
        <v>1467</v>
      </c>
      <c r="B1479" s="21">
        <v>171</v>
      </c>
      <c r="C1479" s="26" t="s">
        <v>3972</v>
      </c>
      <c r="D1479" s="20" t="s">
        <v>3973</v>
      </c>
      <c r="E1479" s="27" t="str">
        <f>T("小恐龍幼兒園-去滑雪")</f>
        <v>小恐龍幼兒園-去滑雪</v>
      </c>
      <c r="F1479" s="20" t="s">
        <v>1962</v>
      </c>
      <c r="G1479" s="20" t="str">
        <f t="shared" si="69"/>
        <v>新疆青少年</v>
      </c>
      <c r="H1479" s="20" t="str">
        <f t="shared" si="70"/>
        <v>20080101</v>
      </c>
      <c r="I1479" s="20">
        <v>8</v>
      </c>
      <c r="J1479" s="20">
        <v>48</v>
      </c>
      <c r="K1479" s="28" t="s">
        <v>3644</v>
      </c>
    </row>
    <row r="1480" spans="1:11" x14ac:dyDescent="0.25">
      <c r="A1480" s="21">
        <v>1468</v>
      </c>
      <c r="B1480" s="21">
        <v>172</v>
      </c>
      <c r="C1480" s="26" t="s">
        <v>3974</v>
      </c>
      <c r="D1480" s="20" t="s">
        <v>3975</v>
      </c>
      <c r="E1480" s="27" t="str">
        <f>T("小恐龍幼兒園-媽媽還不來")</f>
        <v>小恐龍幼兒園-媽媽還不來</v>
      </c>
      <c r="F1480" s="20" t="s">
        <v>1962</v>
      </c>
      <c r="G1480" s="20" t="str">
        <f t="shared" si="69"/>
        <v>新疆青少年</v>
      </c>
      <c r="H1480" s="20" t="str">
        <f t="shared" si="70"/>
        <v>20080101</v>
      </c>
      <c r="I1480" s="20">
        <v>8</v>
      </c>
      <c r="J1480" s="20">
        <v>48</v>
      </c>
      <c r="K1480" s="28" t="s">
        <v>3644</v>
      </c>
    </row>
    <row r="1481" spans="1:11" x14ac:dyDescent="0.25">
      <c r="A1481" s="21">
        <v>1469</v>
      </c>
      <c r="B1481" s="21">
        <v>173</v>
      </c>
      <c r="C1481" s="26" t="s">
        <v>3976</v>
      </c>
      <c r="D1481" s="20" t="s">
        <v>3977</v>
      </c>
      <c r="E1481" s="27" t="str">
        <f>T("小恐龍幼兒園-來拍集體照")</f>
        <v>小恐龍幼兒園-來拍集體照</v>
      </c>
      <c r="F1481" s="20" t="s">
        <v>1962</v>
      </c>
      <c r="G1481" s="20" t="str">
        <f t="shared" si="69"/>
        <v>新疆青少年</v>
      </c>
      <c r="H1481" s="20" t="str">
        <f t="shared" si="70"/>
        <v>20080101</v>
      </c>
      <c r="I1481" s="20">
        <v>8</v>
      </c>
      <c r="J1481" s="20">
        <v>48</v>
      </c>
      <c r="K1481" s="28" t="s">
        <v>3644</v>
      </c>
    </row>
    <row r="1482" spans="1:11" x14ac:dyDescent="0.25">
      <c r="A1482" s="21">
        <v>1470</v>
      </c>
      <c r="B1482" s="21">
        <v>174</v>
      </c>
      <c r="C1482" s="26" t="s">
        <v>3978</v>
      </c>
      <c r="D1482" s="20" t="s">
        <v>3979</v>
      </c>
      <c r="E1482" s="27" t="str">
        <f>T("小恐龍幼兒園-今天不開心")</f>
        <v>小恐龍幼兒園-今天不開心</v>
      </c>
      <c r="F1482" s="20" t="s">
        <v>1962</v>
      </c>
      <c r="G1482" s="20" t="str">
        <f t="shared" si="69"/>
        <v>新疆青少年</v>
      </c>
      <c r="H1482" s="20" t="str">
        <f t="shared" si="70"/>
        <v>20080101</v>
      </c>
      <c r="I1482" s="20">
        <v>8</v>
      </c>
      <c r="J1482" s="20">
        <v>48</v>
      </c>
      <c r="K1482" s="28" t="s">
        <v>3644</v>
      </c>
    </row>
    <row r="1483" spans="1:11" x14ac:dyDescent="0.25">
      <c r="A1483" s="21">
        <v>1471</v>
      </c>
      <c r="B1483" s="21">
        <v>175</v>
      </c>
      <c r="C1483" s="26" t="s">
        <v>3980</v>
      </c>
      <c r="D1483" s="20" t="s">
        <v>3981</v>
      </c>
      <c r="E1483" s="27" t="str">
        <f>T("小恐龍幼兒園-歡樂節日秀")</f>
        <v>小恐龍幼兒園-歡樂節日秀</v>
      </c>
      <c r="F1483" s="20" t="s">
        <v>1962</v>
      </c>
      <c r="G1483" s="20" t="str">
        <f t="shared" si="69"/>
        <v>新疆青少年</v>
      </c>
      <c r="H1483" s="20" t="str">
        <f t="shared" si="70"/>
        <v>20080101</v>
      </c>
      <c r="I1483" s="20">
        <v>8</v>
      </c>
      <c r="J1483" s="20">
        <v>48</v>
      </c>
      <c r="K1483" s="28" t="s">
        <v>3644</v>
      </c>
    </row>
    <row r="1484" spans="1:11" x14ac:dyDescent="0.25">
      <c r="A1484" s="21">
        <v>1472</v>
      </c>
      <c r="B1484" s="21">
        <v>176</v>
      </c>
      <c r="C1484" s="26" t="s">
        <v>3982</v>
      </c>
      <c r="D1484" s="20" t="s">
        <v>3983</v>
      </c>
      <c r="E1484" s="27" t="str">
        <f>T("小恐龍幼兒園-感恩節來了")</f>
        <v>小恐龍幼兒園-感恩節來了</v>
      </c>
      <c r="F1484" s="20" t="s">
        <v>1962</v>
      </c>
      <c r="G1484" s="20" t="str">
        <f t="shared" si="69"/>
        <v>新疆青少年</v>
      </c>
      <c r="H1484" s="20" t="str">
        <f t="shared" si="70"/>
        <v>20080101</v>
      </c>
      <c r="I1484" s="20">
        <v>8</v>
      </c>
      <c r="J1484" s="20">
        <v>48</v>
      </c>
      <c r="K1484" s="28" t="s">
        <v>3644</v>
      </c>
    </row>
    <row r="1485" spans="1:11" x14ac:dyDescent="0.25">
      <c r="A1485" s="21">
        <v>1473</v>
      </c>
      <c r="B1485" s="21">
        <v>177</v>
      </c>
      <c r="C1485" s="26" t="s">
        <v>3984</v>
      </c>
      <c r="D1485" s="20" t="s">
        <v>3985</v>
      </c>
      <c r="E1485" s="27" t="str">
        <f>T("小恐龍幼兒園-大雨大雨快走開")</f>
        <v>小恐龍幼兒園-大雨大雨快走開</v>
      </c>
      <c r="F1485" s="20" t="s">
        <v>1962</v>
      </c>
      <c r="G1485" s="20" t="str">
        <f t="shared" si="69"/>
        <v>新疆青少年</v>
      </c>
      <c r="H1485" s="20" t="str">
        <f t="shared" si="70"/>
        <v>20080101</v>
      </c>
      <c r="I1485" s="20">
        <v>8</v>
      </c>
      <c r="J1485" s="20">
        <v>48</v>
      </c>
      <c r="K1485" s="28" t="s">
        <v>3644</v>
      </c>
    </row>
    <row r="1486" spans="1:11" x14ac:dyDescent="0.25">
      <c r="A1486" s="21">
        <v>1474</v>
      </c>
      <c r="B1486" s="21">
        <v>178</v>
      </c>
      <c r="C1486" s="26" t="s">
        <v>3986</v>
      </c>
      <c r="D1486" s="20" t="s">
        <v>3987</v>
      </c>
      <c r="E1486" s="27" t="str">
        <f>T("小恐龍幼兒園-大家一起玩")</f>
        <v>小恐龍幼兒園-大家一起玩</v>
      </c>
      <c r="F1486" s="20" t="s">
        <v>1962</v>
      </c>
      <c r="G1486" s="20" t="str">
        <f t="shared" si="69"/>
        <v>新疆青少年</v>
      </c>
      <c r="H1486" s="20" t="str">
        <f t="shared" si="70"/>
        <v>20080101</v>
      </c>
      <c r="I1486" s="20">
        <v>8</v>
      </c>
      <c r="J1486" s="20">
        <v>48</v>
      </c>
      <c r="K1486" s="28" t="s">
        <v>3644</v>
      </c>
    </row>
    <row r="1487" spans="1:11" x14ac:dyDescent="0.25">
      <c r="A1487" s="21">
        <v>1475</v>
      </c>
      <c r="B1487" s="21">
        <v>179</v>
      </c>
      <c r="C1487" s="26" t="s">
        <v>3988</v>
      </c>
      <c r="D1487" s="20" t="s">
        <v>3989</v>
      </c>
      <c r="E1487" s="27" t="str">
        <f>T("小恐龍幼兒園-不和你玩了")</f>
        <v>小恐龍幼兒園-不和你玩了</v>
      </c>
      <c r="F1487" s="20" t="s">
        <v>1962</v>
      </c>
      <c r="G1487" s="20" t="str">
        <f t="shared" si="69"/>
        <v>新疆青少年</v>
      </c>
      <c r="H1487" s="20" t="str">
        <f t="shared" si="70"/>
        <v>20080101</v>
      </c>
      <c r="I1487" s="20">
        <v>8</v>
      </c>
      <c r="J1487" s="20">
        <v>48</v>
      </c>
      <c r="K1487" s="28" t="s">
        <v>3644</v>
      </c>
    </row>
    <row r="1488" spans="1:11" x14ac:dyDescent="0.25">
      <c r="A1488" s="21">
        <v>1476</v>
      </c>
      <c r="B1488" s="21">
        <v>180</v>
      </c>
      <c r="C1488" s="26" t="s">
        <v>3990</v>
      </c>
      <c r="D1488" s="20" t="s">
        <v>3991</v>
      </c>
      <c r="E1488" s="27" t="str">
        <f>T("小恐龍幼兒園-愛心卡片")</f>
        <v>小恐龍幼兒園-愛心卡片</v>
      </c>
      <c r="F1488" s="20" t="s">
        <v>1962</v>
      </c>
      <c r="G1488" s="20" t="str">
        <f t="shared" si="69"/>
        <v>新疆青少年</v>
      </c>
      <c r="H1488" s="20" t="str">
        <f t="shared" si="70"/>
        <v>20080101</v>
      </c>
      <c r="I1488" s="20">
        <v>8</v>
      </c>
      <c r="J1488" s="20">
        <v>48</v>
      </c>
      <c r="K1488" s="28" t="s">
        <v>3644</v>
      </c>
    </row>
    <row r="1489" spans="1:11" ht="28.5" x14ac:dyDescent="0.25">
      <c r="A1489" s="21">
        <v>1477</v>
      </c>
      <c r="B1489" s="21">
        <v>181</v>
      </c>
      <c r="C1489" s="26" t="s">
        <v>3992</v>
      </c>
      <c r="D1489" s="20" t="s">
        <v>3993</v>
      </c>
      <c r="E1489" s="27" t="str">
        <f>T("大師傳世經典美繪系列-原來如此:吉卜林自然動物故事")</f>
        <v>大師傳世經典美繪系列-原來如此:吉卜林自然動物故事</v>
      </c>
      <c r="F1489" s="20" t="s">
        <v>1962</v>
      </c>
      <c r="G1489" s="20" t="str">
        <f t="shared" si="69"/>
        <v>新疆青少年</v>
      </c>
      <c r="H1489" s="20" t="str">
        <f>T("20101201")</f>
        <v>20101201</v>
      </c>
      <c r="I1489" s="20">
        <v>19.8</v>
      </c>
      <c r="J1489" s="20">
        <v>119</v>
      </c>
      <c r="K1489" s="28" t="s">
        <v>3644</v>
      </c>
    </row>
    <row r="1490" spans="1:11" x14ac:dyDescent="0.25">
      <c r="A1490" s="21">
        <v>1478</v>
      </c>
      <c r="B1490" s="21">
        <v>182</v>
      </c>
      <c r="C1490" s="26" t="s">
        <v>3994</v>
      </c>
      <c r="D1490" s="20" t="s">
        <v>3995</v>
      </c>
      <c r="E1490" s="27" t="str">
        <f>T("牛牛羊羊的恐龍故事集")</f>
        <v>牛牛羊羊的恐龍故事集</v>
      </c>
      <c r="F1490" s="20" t="s">
        <v>1962</v>
      </c>
      <c r="G1490" s="20" t="str">
        <f t="shared" si="69"/>
        <v>新疆青少年</v>
      </c>
      <c r="H1490" s="20" t="str">
        <f>T("20080101")</f>
        <v>20080101</v>
      </c>
      <c r="I1490" s="20">
        <v>36</v>
      </c>
      <c r="J1490" s="20">
        <v>216</v>
      </c>
      <c r="K1490" s="28" t="s">
        <v>3644</v>
      </c>
    </row>
    <row r="1491" spans="1:11" x14ac:dyDescent="0.25">
      <c r="A1491" s="21">
        <v>1479</v>
      </c>
      <c r="B1491" s="21">
        <v>183</v>
      </c>
      <c r="C1491" s="26" t="s">
        <v>3996</v>
      </c>
      <c r="D1491" s="20" t="s">
        <v>3997</v>
      </c>
      <c r="E1491" s="27" t="str">
        <f>T("你好,達林克")</f>
        <v>你好,達林克</v>
      </c>
      <c r="F1491" s="20" t="s">
        <v>1962</v>
      </c>
      <c r="G1491" s="20" t="str">
        <f t="shared" si="69"/>
        <v>新疆青少年</v>
      </c>
      <c r="H1491" s="20" t="str">
        <f>T("20080101")</f>
        <v>20080101</v>
      </c>
      <c r="I1491" s="20">
        <v>17.8</v>
      </c>
      <c r="J1491" s="20">
        <v>107</v>
      </c>
      <c r="K1491" s="28" t="s">
        <v>3644</v>
      </c>
    </row>
    <row r="1492" spans="1:11" x14ac:dyDescent="0.25">
      <c r="A1492" s="21">
        <v>1480</v>
      </c>
      <c r="B1492" s="21">
        <v>184</v>
      </c>
      <c r="C1492" s="26" t="s">
        <v>3998</v>
      </c>
      <c r="D1492" s="20" t="s">
        <v>3999</v>
      </c>
      <c r="E1492" s="27" t="str">
        <f>T("動物大發現-動物旅行家")</f>
        <v>動物大發現-動物旅行家</v>
      </c>
      <c r="F1492" s="20" t="s">
        <v>1962</v>
      </c>
      <c r="G1492" s="20" t="str">
        <f t="shared" si="69"/>
        <v>新疆青少年</v>
      </c>
      <c r="H1492" s="20" t="str">
        <f>T("20080101")</f>
        <v>20080101</v>
      </c>
      <c r="I1492" s="20">
        <v>16</v>
      </c>
      <c r="J1492" s="20">
        <v>96</v>
      </c>
      <c r="K1492" s="28" t="s">
        <v>3644</v>
      </c>
    </row>
    <row r="1493" spans="1:11" x14ac:dyDescent="0.25">
      <c r="A1493" s="21">
        <v>1481</v>
      </c>
      <c r="B1493" s="21">
        <v>185</v>
      </c>
      <c r="C1493" s="26" t="s">
        <v>4000</v>
      </c>
      <c r="D1493" s="20" t="s">
        <v>4001</v>
      </c>
      <c r="E1493" s="27" t="str">
        <f>T("動物大發現-動物建築師")</f>
        <v>動物大發現-動物建築師</v>
      </c>
      <c r="F1493" s="20" t="s">
        <v>1962</v>
      </c>
      <c r="G1493" s="20" t="str">
        <f t="shared" si="69"/>
        <v>新疆青少年</v>
      </c>
      <c r="H1493" s="20" t="str">
        <f>T("20080101")</f>
        <v>20080101</v>
      </c>
      <c r="I1493" s="20">
        <v>16</v>
      </c>
      <c r="J1493" s="20">
        <v>96</v>
      </c>
      <c r="K1493" s="28" t="s">
        <v>3644</v>
      </c>
    </row>
    <row r="1494" spans="1:11" x14ac:dyDescent="0.25">
      <c r="A1494" s="21">
        <v>1482</v>
      </c>
      <c r="B1494" s="21">
        <v>186</v>
      </c>
      <c r="C1494" s="26" t="s">
        <v>4002</v>
      </c>
      <c r="D1494" s="20" t="s">
        <v>4003</v>
      </c>
      <c r="E1494" s="27" t="str">
        <f>T("LOOK!英國-五歲男孩看英國")</f>
        <v>LOOK!英國-五歲男孩看英國</v>
      </c>
      <c r="F1494" s="20" t="s">
        <v>1962</v>
      </c>
      <c r="G1494" s="20" t="str">
        <f t="shared" si="69"/>
        <v>新疆青少年</v>
      </c>
      <c r="H1494" s="20" t="str">
        <f>T("20080101")</f>
        <v>20080101</v>
      </c>
      <c r="I1494" s="20">
        <v>35</v>
      </c>
      <c r="J1494" s="20">
        <v>210</v>
      </c>
      <c r="K1494" s="28" t="s">
        <v>3644</v>
      </c>
    </row>
    <row r="1495" spans="1:11" x14ac:dyDescent="0.25">
      <c r="A1495" s="21">
        <v>1483</v>
      </c>
      <c r="B1495" s="21">
        <v>187</v>
      </c>
      <c r="C1495" s="26" t="s">
        <v>4004</v>
      </c>
      <c r="D1495" s="20" t="s">
        <v>4005</v>
      </c>
      <c r="E1495" s="27" t="str">
        <f>T("地球歷史-漫畫百科王-2010最新版")</f>
        <v>地球歷史-漫畫百科王-2010最新版</v>
      </c>
      <c r="F1495" s="20" t="s">
        <v>4006</v>
      </c>
      <c r="G1495" s="20" t="str">
        <f>T("吉林大學")</f>
        <v>吉林大學</v>
      </c>
      <c r="H1495" s="20" t="str">
        <f>T("20100201")</f>
        <v>20100201</v>
      </c>
      <c r="I1495" s="20">
        <v>25</v>
      </c>
      <c r="J1495" s="20">
        <v>150</v>
      </c>
      <c r="K1495" s="28" t="s">
        <v>3644</v>
      </c>
    </row>
    <row r="1496" spans="1:11" x14ac:dyDescent="0.25">
      <c r="A1496" s="21">
        <v>1484</v>
      </c>
      <c r="B1496" s="21">
        <v>188</v>
      </c>
      <c r="C1496" s="26" t="s">
        <v>4007</v>
      </c>
      <c r="D1496" s="20" t="s">
        <v>4008</v>
      </c>
      <c r="E1496" s="27" t="str">
        <f>T("搖滾藏獒（上下）")</f>
        <v>搖滾藏獒（上下）</v>
      </c>
      <c r="F1496" s="20" t="s">
        <v>4009</v>
      </c>
      <c r="G1496" s="20" t="str">
        <f>T("現代")</f>
        <v>現代</v>
      </c>
      <c r="H1496" s="20" t="str">
        <f>T("")</f>
        <v/>
      </c>
      <c r="I1496" s="20">
        <v>36</v>
      </c>
      <c r="J1496" s="20">
        <v>216</v>
      </c>
      <c r="K1496" s="28" t="s">
        <v>3644</v>
      </c>
    </row>
    <row r="1497" spans="1:11" x14ac:dyDescent="0.25">
      <c r="A1497" s="21">
        <v>1485</v>
      </c>
      <c r="B1497" s="21">
        <v>189</v>
      </c>
      <c r="C1497" s="26" t="s">
        <v>4010</v>
      </c>
      <c r="D1497" s="20" t="s">
        <v>4011</v>
      </c>
      <c r="E1497" s="27" t="str">
        <f>T("軍神孫子")</f>
        <v>軍神孫子</v>
      </c>
      <c r="F1497" s="20" t="s">
        <v>4012</v>
      </c>
      <c r="G1497" s="20" t="str">
        <f>T("現代")</f>
        <v>現代</v>
      </c>
      <c r="H1497" s="20" t="str">
        <f>T("")</f>
        <v/>
      </c>
      <c r="I1497" s="20">
        <v>16.8</v>
      </c>
      <c r="J1497" s="20">
        <v>101</v>
      </c>
      <c r="K1497" s="28" t="s">
        <v>3644</v>
      </c>
    </row>
    <row r="1498" spans="1:11" x14ac:dyDescent="0.25">
      <c r="A1498" s="21">
        <v>1486</v>
      </c>
      <c r="B1498" s="21">
        <v>190</v>
      </c>
      <c r="C1498" s="26" t="s">
        <v>4013</v>
      </c>
      <c r="D1498" s="20" t="s">
        <v>4014</v>
      </c>
      <c r="E1498" s="27" t="str">
        <f>T("最後的皇宮")</f>
        <v>最後的皇宮</v>
      </c>
      <c r="F1498" s="20" t="s">
        <v>4015</v>
      </c>
      <c r="G1498" s="20" t="str">
        <f>T("現代")</f>
        <v>現代</v>
      </c>
      <c r="H1498" s="20" t="str">
        <f>T("")</f>
        <v/>
      </c>
      <c r="I1498" s="20">
        <v>16.8</v>
      </c>
      <c r="J1498" s="20">
        <v>101</v>
      </c>
      <c r="K1498" s="28" t="s">
        <v>3644</v>
      </c>
    </row>
    <row r="1499" spans="1:11" x14ac:dyDescent="0.25">
      <c r="A1499" s="21">
        <v>1487</v>
      </c>
      <c r="B1499" s="21">
        <v>191</v>
      </c>
      <c r="C1499" s="26" t="s">
        <v>4016</v>
      </c>
      <c r="D1499" s="20" t="s">
        <v>4017</v>
      </c>
      <c r="E1499" s="27" t="str">
        <f>T("喔,長城")</f>
        <v>喔,長城</v>
      </c>
      <c r="F1499" s="20" t="s">
        <v>4015</v>
      </c>
      <c r="G1499" s="20" t="str">
        <f>T("現代")</f>
        <v>現代</v>
      </c>
      <c r="H1499" s="20" t="str">
        <f>T("")</f>
        <v/>
      </c>
      <c r="I1499" s="20">
        <v>16.8</v>
      </c>
      <c r="J1499" s="20">
        <v>101</v>
      </c>
      <c r="K1499" s="28" t="s">
        <v>3644</v>
      </c>
    </row>
    <row r="1500" spans="1:11" x14ac:dyDescent="0.25">
      <c r="A1500" s="21">
        <v>1488</v>
      </c>
      <c r="B1500" s="21">
        <v>192</v>
      </c>
      <c r="C1500" s="26" t="s">
        <v>4018</v>
      </c>
      <c r="D1500" s="20" t="s">
        <v>4019</v>
      </c>
      <c r="E1500" s="27" t="str">
        <f>T("西遊記 3")</f>
        <v>西遊記 3</v>
      </c>
      <c r="F1500" s="20" t="s">
        <v>4020</v>
      </c>
      <c r="G1500" s="20" t="str">
        <f t="shared" ref="G1500:G1509" si="71">T("百家")</f>
        <v>百家</v>
      </c>
      <c r="H1500" s="20" t="str">
        <f>T("20020101")</f>
        <v>20020101</v>
      </c>
      <c r="I1500" s="20">
        <v>13.8</v>
      </c>
      <c r="J1500" s="20">
        <v>83</v>
      </c>
      <c r="K1500" s="28" t="s">
        <v>3644</v>
      </c>
    </row>
    <row r="1501" spans="1:11" x14ac:dyDescent="0.25">
      <c r="A1501" s="21">
        <v>1489</v>
      </c>
      <c r="B1501" s="21">
        <v>193</v>
      </c>
      <c r="C1501" s="26" t="s">
        <v>4021</v>
      </c>
      <c r="D1501" s="20" t="s">
        <v>4022</v>
      </c>
      <c r="E1501" s="27" t="str">
        <f>T("西遊記 6")</f>
        <v>西遊記 6</v>
      </c>
      <c r="F1501" s="20" t="s">
        <v>4020</v>
      </c>
      <c r="G1501" s="20" t="str">
        <f t="shared" si="71"/>
        <v>百家</v>
      </c>
      <c r="H1501" s="20" t="str">
        <f>T("20020401")</f>
        <v>20020401</v>
      </c>
      <c r="I1501" s="20">
        <v>13.8</v>
      </c>
      <c r="J1501" s="20">
        <v>83</v>
      </c>
      <c r="K1501" s="28" t="s">
        <v>3644</v>
      </c>
    </row>
    <row r="1502" spans="1:11" x14ac:dyDescent="0.25">
      <c r="A1502" s="21">
        <v>1490</v>
      </c>
      <c r="B1502" s="21">
        <v>194</v>
      </c>
      <c r="C1502" s="26" t="s">
        <v>4023</v>
      </c>
      <c r="D1502" s="20" t="s">
        <v>4022</v>
      </c>
      <c r="E1502" s="27" t="str">
        <f>T("西遊記 4")</f>
        <v>西遊記 4</v>
      </c>
      <c r="F1502" s="20" t="s">
        <v>4020</v>
      </c>
      <c r="G1502" s="20" t="str">
        <f t="shared" si="71"/>
        <v>百家</v>
      </c>
      <c r="H1502" s="20" t="str">
        <f>T("20020401")</f>
        <v>20020401</v>
      </c>
      <c r="I1502" s="20">
        <v>13.8</v>
      </c>
      <c r="J1502" s="20">
        <v>83</v>
      </c>
      <c r="K1502" s="28" t="s">
        <v>3644</v>
      </c>
    </row>
    <row r="1503" spans="1:11" x14ac:dyDescent="0.25">
      <c r="A1503" s="21">
        <v>1491</v>
      </c>
      <c r="B1503" s="21">
        <v>195</v>
      </c>
      <c r="C1503" s="26" t="s">
        <v>4024</v>
      </c>
      <c r="D1503" s="20" t="s">
        <v>4022</v>
      </c>
      <c r="E1503" s="27" t="str">
        <f>T("西遊記 5")</f>
        <v>西遊記 5</v>
      </c>
      <c r="F1503" s="20" t="s">
        <v>4020</v>
      </c>
      <c r="G1503" s="20" t="str">
        <f t="shared" si="71"/>
        <v>百家</v>
      </c>
      <c r="H1503" s="20" t="str">
        <f>T("20020401")</f>
        <v>20020401</v>
      </c>
      <c r="I1503" s="20">
        <v>13.8</v>
      </c>
      <c r="J1503" s="20">
        <v>83</v>
      </c>
      <c r="K1503" s="28" t="s">
        <v>3644</v>
      </c>
    </row>
    <row r="1504" spans="1:11" x14ac:dyDescent="0.25">
      <c r="A1504" s="21">
        <v>1492</v>
      </c>
      <c r="B1504" s="21">
        <v>196</v>
      </c>
      <c r="C1504" s="26" t="s">
        <v>4025</v>
      </c>
      <c r="D1504" s="20" t="s">
        <v>4026</v>
      </c>
      <c r="E1504" s="27" t="str">
        <f>T("西遊記 9")</f>
        <v>西遊記 9</v>
      </c>
      <c r="F1504" s="20" t="s">
        <v>4027</v>
      </c>
      <c r="G1504" s="20" t="str">
        <f t="shared" si="71"/>
        <v>百家</v>
      </c>
      <c r="H1504" s="20" t="str">
        <f t="shared" ref="H1504:H1509" si="72">T("20030801")</f>
        <v>20030801</v>
      </c>
      <c r="I1504" s="20">
        <v>13.8</v>
      </c>
      <c r="J1504" s="20">
        <v>83</v>
      </c>
      <c r="K1504" s="28" t="s">
        <v>3644</v>
      </c>
    </row>
    <row r="1505" spans="1:11" x14ac:dyDescent="0.25">
      <c r="A1505" s="21">
        <v>1493</v>
      </c>
      <c r="B1505" s="21">
        <v>197</v>
      </c>
      <c r="C1505" s="26" t="s">
        <v>4028</v>
      </c>
      <c r="D1505" s="20" t="s">
        <v>4026</v>
      </c>
      <c r="E1505" s="27" t="str">
        <f>T("西遊記 8")</f>
        <v>西遊記 8</v>
      </c>
      <c r="F1505" s="20" t="s">
        <v>4027</v>
      </c>
      <c r="G1505" s="20" t="str">
        <f t="shared" si="71"/>
        <v>百家</v>
      </c>
      <c r="H1505" s="20" t="str">
        <f t="shared" si="72"/>
        <v>20030801</v>
      </c>
      <c r="I1505" s="20">
        <v>13.8</v>
      </c>
      <c r="J1505" s="20">
        <v>83</v>
      </c>
      <c r="K1505" s="28" t="s">
        <v>3644</v>
      </c>
    </row>
    <row r="1506" spans="1:11" x14ac:dyDescent="0.25">
      <c r="A1506" s="21">
        <v>1494</v>
      </c>
      <c r="B1506" s="21">
        <v>198</v>
      </c>
      <c r="C1506" s="26" t="s">
        <v>4029</v>
      </c>
      <c r="D1506" s="20" t="s">
        <v>4026</v>
      </c>
      <c r="E1506" s="27" t="str">
        <f>T("西遊記 7")</f>
        <v>西遊記 7</v>
      </c>
      <c r="F1506" s="20" t="s">
        <v>4027</v>
      </c>
      <c r="G1506" s="20" t="str">
        <f t="shared" si="71"/>
        <v>百家</v>
      </c>
      <c r="H1506" s="20" t="str">
        <f t="shared" si="72"/>
        <v>20030801</v>
      </c>
      <c r="I1506" s="20">
        <v>13.8</v>
      </c>
      <c r="J1506" s="20">
        <v>83</v>
      </c>
      <c r="K1506" s="28" t="s">
        <v>3644</v>
      </c>
    </row>
    <row r="1507" spans="1:11" x14ac:dyDescent="0.25">
      <c r="A1507" s="21">
        <v>1495</v>
      </c>
      <c r="B1507" s="21">
        <v>199</v>
      </c>
      <c r="C1507" s="26" t="s">
        <v>4030</v>
      </c>
      <c r="D1507" s="20" t="s">
        <v>4031</v>
      </c>
      <c r="E1507" s="27" t="str">
        <f>T("西遊記 10")</f>
        <v>西遊記 10</v>
      </c>
      <c r="F1507" s="20" t="s">
        <v>4027</v>
      </c>
      <c r="G1507" s="20" t="str">
        <f t="shared" si="71"/>
        <v>百家</v>
      </c>
      <c r="H1507" s="20" t="str">
        <f t="shared" si="72"/>
        <v>20030801</v>
      </c>
      <c r="I1507" s="20">
        <v>13.8</v>
      </c>
      <c r="J1507" s="20">
        <v>83</v>
      </c>
      <c r="K1507" s="28" t="s">
        <v>3644</v>
      </c>
    </row>
    <row r="1508" spans="1:11" x14ac:dyDescent="0.25">
      <c r="A1508" s="21">
        <v>1496</v>
      </c>
      <c r="B1508" s="21">
        <v>200</v>
      </c>
      <c r="C1508" s="26" t="s">
        <v>4032</v>
      </c>
      <c r="D1508" s="20" t="s">
        <v>4031</v>
      </c>
      <c r="E1508" s="27" t="str">
        <f>T("西遊記 11")</f>
        <v>西遊記 11</v>
      </c>
      <c r="F1508" s="20" t="s">
        <v>4027</v>
      </c>
      <c r="G1508" s="20" t="str">
        <f t="shared" si="71"/>
        <v>百家</v>
      </c>
      <c r="H1508" s="20" t="str">
        <f t="shared" si="72"/>
        <v>20030801</v>
      </c>
      <c r="I1508" s="20">
        <v>13.8</v>
      </c>
      <c r="J1508" s="20">
        <v>83</v>
      </c>
      <c r="K1508" s="28" t="s">
        <v>3644</v>
      </c>
    </row>
    <row r="1509" spans="1:11" x14ac:dyDescent="0.25">
      <c r="A1509" s="21">
        <v>1497</v>
      </c>
      <c r="B1509" s="21">
        <v>201</v>
      </c>
      <c r="C1509" s="26" t="s">
        <v>4033</v>
      </c>
      <c r="D1509" s="20" t="s">
        <v>4031</v>
      </c>
      <c r="E1509" s="27" t="str">
        <f>T("西遊記 12")</f>
        <v>西遊記 12</v>
      </c>
      <c r="F1509" s="20" t="s">
        <v>4027</v>
      </c>
      <c r="G1509" s="20" t="str">
        <f t="shared" si="71"/>
        <v>百家</v>
      </c>
      <c r="H1509" s="20" t="str">
        <f t="shared" si="72"/>
        <v>20030801</v>
      </c>
      <c r="I1509" s="20">
        <v>13.8</v>
      </c>
      <c r="J1509" s="20">
        <v>83</v>
      </c>
      <c r="K1509" s="28" t="s">
        <v>3644</v>
      </c>
    </row>
    <row r="1510" spans="1:11" x14ac:dyDescent="0.25">
      <c r="A1510" s="21">
        <v>1498</v>
      </c>
      <c r="B1510" s="21">
        <v>202</v>
      </c>
      <c r="C1510" s="26" t="s">
        <v>4034</v>
      </c>
      <c r="D1510" s="20" t="s">
        <v>4035</v>
      </c>
      <c r="E1510" s="27" t="str">
        <f>T("淘氣包馬小跳系列--漂亮女孩夏林果")</f>
        <v>淘氣包馬小跳系列--漂亮女孩夏林果</v>
      </c>
      <c r="F1510" s="20" t="s">
        <v>4036</v>
      </c>
      <c r="G1510" s="20" t="str">
        <f t="shared" ref="G1510:G1516" si="73">T("接力")</f>
        <v>接力</v>
      </c>
      <c r="H1510" s="20" t="str">
        <f t="shared" ref="H1510:H1516" si="74">T("")</f>
        <v/>
      </c>
      <c r="I1510" s="20">
        <v>13</v>
      </c>
      <c r="J1510" s="20">
        <v>78</v>
      </c>
      <c r="K1510" s="28" t="s">
        <v>3644</v>
      </c>
    </row>
    <row r="1511" spans="1:11" x14ac:dyDescent="0.25">
      <c r="A1511" s="21">
        <v>1499</v>
      </c>
      <c r="B1511" s="21">
        <v>203</v>
      </c>
      <c r="C1511" s="26" t="s">
        <v>4037</v>
      </c>
      <c r="D1511" s="20" t="s">
        <v>4038</v>
      </c>
      <c r="E1511" s="27" t="str">
        <f>T("淘氣包馬小跳系列--瘋ㄚ頭杜真子")</f>
        <v>淘氣包馬小跳系列--瘋ㄚ頭杜真子</v>
      </c>
      <c r="F1511" s="20" t="s">
        <v>4036</v>
      </c>
      <c r="G1511" s="20" t="str">
        <f t="shared" si="73"/>
        <v>接力</v>
      </c>
      <c r="H1511" s="20" t="str">
        <f t="shared" si="74"/>
        <v/>
      </c>
      <c r="I1511" s="20">
        <v>13</v>
      </c>
      <c r="J1511" s="20">
        <v>78</v>
      </c>
      <c r="K1511" s="28" t="s">
        <v>3644</v>
      </c>
    </row>
    <row r="1512" spans="1:11" x14ac:dyDescent="0.25">
      <c r="A1512" s="21">
        <v>1500</v>
      </c>
      <c r="B1512" s="21">
        <v>204</v>
      </c>
      <c r="C1512" s="26" t="s">
        <v>4039</v>
      </c>
      <c r="D1512" s="20" t="s">
        <v>4040</v>
      </c>
      <c r="E1512" s="27" t="str">
        <f>T("大頭兒子和隔壁大大叔")</f>
        <v>大頭兒子和隔壁大大叔</v>
      </c>
      <c r="F1512" s="20" t="s">
        <v>4041</v>
      </c>
      <c r="G1512" s="20" t="str">
        <f t="shared" si="73"/>
        <v>接力</v>
      </c>
      <c r="H1512" s="20" t="str">
        <f t="shared" si="74"/>
        <v/>
      </c>
      <c r="I1512" s="20">
        <v>12.8</v>
      </c>
      <c r="J1512" s="20">
        <v>77</v>
      </c>
      <c r="K1512" s="28" t="s">
        <v>3644</v>
      </c>
    </row>
    <row r="1513" spans="1:11" x14ac:dyDescent="0.25">
      <c r="A1513" s="21">
        <v>1501</v>
      </c>
      <c r="B1513" s="21">
        <v>205</v>
      </c>
      <c r="C1513" s="26" t="s">
        <v>4042</v>
      </c>
      <c r="D1513" s="20" t="s">
        <v>4043</v>
      </c>
      <c r="E1513" s="27" t="str">
        <f>T("大頭兒子和圍裙媽媽")</f>
        <v>大頭兒子和圍裙媽媽</v>
      </c>
      <c r="F1513" s="20" t="s">
        <v>4041</v>
      </c>
      <c r="G1513" s="20" t="str">
        <f t="shared" si="73"/>
        <v>接力</v>
      </c>
      <c r="H1513" s="20" t="str">
        <f t="shared" si="74"/>
        <v/>
      </c>
      <c r="I1513" s="20">
        <v>12.8</v>
      </c>
      <c r="J1513" s="20">
        <v>77</v>
      </c>
      <c r="K1513" s="28" t="s">
        <v>3644</v>
      </c>
    </row>
    <row r="1514" spans="1:11" x14ac:dyDescent="0.25">
      <c r="A1514" s="21">
        <v>1502</v>
      </c>
      <c r="B1514" s="21">
        <v>206</v>
      </c>
      <c r="C1514" s="26" t="s">
        <v>4044</v>
      </c>
      <c r="D1514" s="20" t="s">
        <v>4045</v>
      </c>
      <c r="E1514" s="27" t="str">
        <f>T("淘氣包馬小跳系列--巨人的城堡")</f>
        <v>淘氣包馬小跳系列--巨人的城堡</v>
      </c>
      <c r="F1514" s="20" t="s">
        <v>4036</v>
      </c>
      <c r="G1514" s="20" t="str">
        <f t="shared" si="73"/>
        <v>接力</v>
      </c>
      <c r="H1514" s="20" t="str">
        <f t="shared" si="74"/>
        <v/>
      </c>
      <c r="I1514" s="20">
        <v>13</v>
      </c>
      <c r="J1514" s="20">
        <v>78</v>
      </c>
      <c r="K1514" s="28" t="s">
        <v>3644</v>
      </c>
    </row>
    <row r="1515" spans="1:11" x14ac:dyDescent="0.25">
      <c r="A1515" s="21">
        <v>1503</v>
      </c>
      <c r="B1515" s="21">
        <v>207</v>
      </c>
      <c r="C1515" s="26" t="s">
        <v>4046</v>
      </c>
      <c r="D1515" s="20" t="s">
        <v>4047</v>
      </c>
      <c r="E1515" s="27" t="str">
        <f>T("小雨人的傘")</f>
        <v>小雨人的傘</v>
      </c>
      <c r="F1515" s="20" t="s">
        <v>4048</v>
      </c>
      <c r="G1515" s="20" t="str">
        <f t="shared" si="73"/>
        <v>接力</v>
      </c>
      <c r="H1515" s="20" t="str">
        <f t="shared" si="74"/>
        <v/>
      </c>
      <c r="I1515" s="20">
        <v>13.8</v>
      </c>
      <c r="J1515" s="20">
        <v>83</v>
      </c>
      <c r="K1515" s="28" t="s">
        <v>3644</v>
      </c>
    </row>
    <row r="1516" spans="1:11" x14ac:dyDescent="0.25">
      <c r="A1516" s="21">
        <v>1504</v>
      </c>
      <c r="B1516" s="21">
        <v>208</v>
      </c>
      <c r="C1516" s="26" t="s">
        <v>4049</v>
      </c>
      <c r="D1516" s="20" t="s">
        <v>4050</v>
      </c>
      <c r="E1516" s="27" t="str">
        <f>T("小象背上的電話機")</f>
        <v>小象背上的電話機</v>
      </c>
      <c r="F1516" s="20" t="s">
        <v>4048</v>
      </c>
      <c r="G1516" s="20" t="str">
        <f t="shared" si="73"/>
        <v>接力</v>
      </c>
      <c r="H1516" s="20" t="str">
        <f t="shared" si="74"/>
        <v/>
      </c>
      <c r="I1516" s="20">
        <v>13.8</v>
      </c>
      <c r="J1516" s="20">
        <v>83</v>
      </c>
      <c r="K1516" s="28" t="s">
        <v>3644</v>
      </c>
    </row>
    <row r="1517" spans="1:11" x14ac:dyDescent="0.25">
      <c r="A1517" s="21">
        <v>1505</v>
      </c>
      <c r="B1517" s="21">
        <v>209</v>
      </c>
      <c r="C1517" s="26" t="s">
        <v>4051</v>
      </c>
      <c r="D1517" s="20" t="s">
        <v>4052</v>
      </c>
      <c r="E1517" s="27" t="str">
        <f>T("畫說中國傳統節日：清明節")</f>
        <v>畫說中國傳統節日：清明節</v>
      </c>
      <c r="F1517" s="20" t="s">
        <v>4053</v>
      </c>
      <c r="G1517" s="20" t="str">
        <f>T("江西美術")</f>
        <v>江西美術</v>
      </c>
      <c r="H1517" s="20" t="str">
        <f>T("20060101")</f>
        <v>20060101</v>
      </c>
      <c r="I1517" s="20">
        <v>6</v>
      </c>
      <c r="J1517" s="20">
        <v>36</v>
      </c>
      <c r="K1517" s="28" t="s">
        <v>3644</v>
      </c>
    </row>
    <row r="1518" spans="1:11" x14ac:dyDescent="0.25">
      <c r="A1518" s="21">
        <v>1506</v>
      </c>
      <c r="B1518" s="21">
        <v>210</v>
      </c>
      <c r="C1518" s="26" t="s">
        <v>4054</v>
      </c>
      <c r="D1518" s="20" t="s">
        <v>4055</v>
      </c>
      <c r="E1518" s="27" t="str">
        <f>T("外星小販巴拉巴")</f>
        <v>外星小販巴拉巴</v>
      </c>
      <c r="F1518" s="20" t="s">
        <v>4056</v>
      </c>
      <c r="G1518" s="20" t="str">
        <f>T("接力")</f>
        <v>接力</v>
      </c>
      <c r="H1518" s="20" t="str">
        <f>T("")</f>
        <v/>
      </c>
      <c r="I1518" s="20">
        <v>15</v>
      </c>
      <c r="J1518" s="20">
        <v>90</v>
      </c>
      <c r="K1518" s="28" t="s">
        <v>3644</v>
      </c>
    </row>
    <row r="1519" spans="1:11" x14ac:dyDescent="0.25">
      <c r="A1519" s="21">
        <v>1507</v>
      </c>
      <c r="B1519" s="21">
        <v>211</v>
      </c>
      <c r="C1519" s="26" t="s">
        <v>4057</v>
      </c>
      <c r="D1519" s="20" t="s">
        <v>4058</v>
      </c>
      <c r="E1519" s="27" t="str">
        <f>T("大頭兒子在大海邊")</f>
        <v>大頭兒子在大海邊</v>
      </c>
      <c r="F1519" s="20" t="s">
        <v>4041</v>
      </c>
      <c r="G1519" s="20" t="str">
        <f>T("接力")</f>
        <v>接力</v>
      </c>
      <c r="H1519" s="20" t="str">
        <f>T("")</f>
        <v/>
      </c>
      <c r="I1519" s="20">
        <v>12.8</v>
      </c>
      <c r="J1519" s="20">
        <v>77</v>
      </c>
      <c r="K1519" s="28" t="s">
        <v>3644</v>
      </c>
    </row>
    <row r="1520" spans="1:11" x14ac:dyDescent="0.25">
      <c r="A1520" s="21">
        <v>1508</v>
      </c>
      <c r="B1520" s="21">
        <v>212</v>
      </c>
      <c r="C1520" s="26" t="s">
        <v>4059</v>
      </c>
      <c r="D1520" s="20" t="s">
        <v>4060</v>
      </c>
      <c r="E1520" s="27" t="str">
        <f>T("大頭兒子在森林裡")</f>
        <v>大頭兒子在森林裡</v>
      </c>
      <c r="F1520" s="20" t="s">
        <v>4041</v>
      </c>
      <c r="G1520" s="20" t="str">
        <f>T("接力")</f>
        <v>接力</v>
      </c>
      <c r="H1520" s="20" t="str">
        <f>T("")</f>
        <v/>
      </c>
      <c r="I1520" s="20">
        <v>12.8</v>
      </c>
      <c r="J1520" s="20">
        <v>77</v>
      </c>
      <c r="K1520" s="28" t="s">
        <v>3644</v>
      </c>
    </row>
    <row r="1521" spans="1:11" x14ac:dyDescent="0.25">
      <c r="A1521" s="21">
        <v>1509</v>
      </c>
      <c r="B1521" s="21">
        <v>213</v>
      </c>
      <c r="C1521" s="26" t="s">
        <v>4061</v>
      </c>
      <c r="D1521" s="20" t="s">
        <v>4062</v>
      </c>
      <c r="E1521" s="27" t="str">
        <f>T("大頭兒子上幼兒園")</f>
        <v>大頭兒子上幼兒園</v>
      </c>
      <c r="F1521" s="20" t="s">
        <v>4041</v>
      </c>
      <c r="G1521" s="20" t="str">
        <f>T("接力")</f>
        <v>接力</v>
      </c>
      <c r="H1521" s="20" t="str">
        <f>T("")</f>
        <v/>
      </c>
      <c r="I1521" s="20">
        <v>12.8</v>
      </c>
      <c r="J1521" s="20">
        <v>77</v>
      </c>
      <c r="K1521" s="28" t="s">
        <v>3644</v>
      </c>
    </row>
    <row r="1522" spans="1:11" x14ac:dyDescent="0.25">
      <c r="A1522" s="21">
        <v>1510</v>
      </c>
      <c r="B1522" s="21">
        <v>214</v>
      </c>
      <c r="C1522" s="26" t="s">
        <v>4063</v>
      </c>
      <c r="D1522" s="20" t="s">
        <v>4064</v>
      </c>
      <c r="E1522" s="27" t="str">
        <f>T("大頭兒子和小餅乾")</f>
        <v>大頭兒子和小餅乾</v>
      </c>
      <c r="F1522" s="20" t="s">
        <v>4041</v>
      </c>
      <c r="G1522" s="20" t="str">
        <f>T("接力")</f>
        <v>接力</v>
      </c>
      <c r="H1522" s="20" t="str">
        <f>T("")</f>
        <v/>
      </c>
      <c r="I1522" s="20">
        <v>12.8</v>
      </c>
      <c r="J1522" s="20">
        <v>77</v>
      </c>
      <c r="K1522" s="28" t="s">
        <v>3644</v>
      </c>
    </row>
  </sheetData>
  <mergeCells count="12">
    <mergeCell ref="A875:K875"/>
    <mergeCell ref="A953:K953"/>
    <mergeCell ref="A981:K981"/>
    <mergeCell ref="A1157:K1157"/>
    <mergeCell ref="A1308:K1308"/>
    <mergeCell ref="A2:K2"/>
    <mergeCell ref="A22:K22"/>
    <mergeCell ref="A99:K99"/>
    <mergeCell ref="A316:K316"/>
    <mergeCell ref="A402:K402"/>
    <mergeCell ref="A455:K455"/>
    <mergeCell ref="A668:K668"/>
  </mergeCells>
  <phoneticPr fontId="16" type="noConversion"/>
  <pageMargins left="0" right="0" top="0.55118110236220474" bottom="0.35433070866141736" header="0.11811023622047245" footer="0.11811023622047245"/>
  <pageSetup paperSize="9" scale="79" fitToHeight="0" orientation="portrait" verticalDpi="180" r:id="rId1"/>
  <headerFooter>
    <oddHeader>&amp;L&amp;"-,粗體"世界書局 簡體字書單&amp;R&amp;9 2025/11/19</oddHeader>
    <oddFooter>&amp;C&amp;"-,粗體"&amp;9&amp;P/&amp;N&amp;R&amp;"-,粗體"&amp;9歡迎自行索取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世界書局簡體字書單</vt:lpstr>
      <vt:lpstr>世界書局簡體字書單!Print_Titles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2025-11-19T08:32:42Z</cp:lastPrinted>
  <dcterms:created xsi:type="dcterms:W3CDTF">2020-10-15T00:49:00Z</dcterms:created>
  <dcterms:modified xsi:type="dcterms:W3CDTF">2025-11-19T09:23:19Z</dcterms:modified>
</cp:coreProperties>
</file>